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645" windowWidth="9630" windowHeight="1140" tabRatio="909" firstSheet="19" activeTab="25"/>
  </bookViews>
  <sheets>
    <sheet name="Instructions" sheetId="1" r:id="rId1"/>
    <sheet name="inputPrYr" sheetId="2" r:id="rId2"/>
    <sheet name="inputOth" sheetId="3" r:id="rId3"/>
    <sheet name="cert" sheetId="4" r:id="rId4"/>
    <sheet name="computation" sheetId="5" r:id="rId5"/>
    <sheet name="mvalloc" sheetId="6" r:id="rId6"/>
    <sheet name="transfers" sheetId="7" r:id="rId7"/>
    <sheet name="debt" sheetId="8" r:id="rId8"/>
    <sheet name="lpform" sheetId="9" r:id="rId9"/>
    <sheet name="general" sheetId="10" r:id="rId10"/>
    <sheet name="DebtService" sheetId="11" r:id="rId11"/>
    <sheet name="Ballfields &amp; Emp Benefits" sheetId="12" r:id="rId12"/>
    <sheet name="Library Levies" sheetId="13" r:id="rId13"/>
    <sheet name="Sp Hiway-C&amp;T" sheetId="14" r:id="rId14"/>
    <sheet name="Spec Drug &amp; Alcohol" sheetId="15" r:id="rId15"/>
    <sheet name="Pol Training &amp; Solid Waste" sheetId="16" r:id="rId16"/>
    <sheet name="Spec Utility Reserves" sheetId="17" r:id="rId17"/>
    <sheet name="CCUA no levy page 18" sheetId="18" r:id="rId18"/>
    <sheet name="SinNoLevy20-Sewer" sheetId="19" r:id="rId19"/>
    <sheet name="SinNoLevy21-Water" sheetId="20" r:id="rId20"/>
    <sheet name="SinNoLevy22-Sr Dir" sheetId="21" r:id="rId21"/>
    <sheet name="NonBudA" sheetId="22" r:id="rId22"/>
    <sheet name="NonBudB" sheetId="23" r:id="rId23"/>
    <sheet name="NonBudC" sheetId="24" r:id="rId24"/>
    <sheet name="NonBudD" sheetId="25" r:id="rId25"/>
    <sheet name="summ" sheetId="26" r:id="rId26"/>
    <sheet name="GenDetail" sheetId="27" r:id="rId27"/>
    <sheet name="nhood" sheetId="28" r:id="rId28"/>
    <sheet name="levy page1na 2" sheetId="29" r:id="rId29"/>
    <sheet name="na levy page11" sheetId="30" r:id="rId30"/>
    <sheet name="na levy page13" sheetId="31" r:id="rId31"/>
    <sheet name="no levy page19" sheetId="32" r:id="rId32"/>
    <sheet name="SinNoLevy23" sheetId="33" r:id="rId33"/>
    <sheet name="ordinance" sheetId="34" r:id="rId34"/>
    <sheet name="legend" sheetId="35" r:id="rId35"/>
  </sheets>
  <definedNames>
    <definedName name="_xlnm.Print_Area" localSheetId="26">'GenDetail'!$B$2</definedName>
    <definedName name="_xlnm.Print_Area" localSheetId="2">'inputOth'!$A$87</definedName>
    <definedName name="_xlnm.Print_Area" localSheetId="1">'inputPrYr'!$A$24</definedName>
    <definedName name="_xlnm.Print_Area" localSheetId="0">'Instructions'!$A$2</definedName>
    <definedName name="_xlnm.Print_Area" localSheetId="34">'legend'!$A$7</definedName>
    <definedName name="_xlnm.Print_Area" localSheetId="28">'levy page1na 2'!$B$2</definedName>
    <definedName name="_xlnm.Print_Area" localSheetId="12">'Library Levies'!$A$1:$G$74</definedName>
    <definedName name="_xlnm.Print_Area" localSheetId="8">'lpform'!$A$1:$H$38</definedName>
    <definedName name="_xlnm.Print_Area" localSheetId="29">'na levy page11'!$B$1</definedName>
    <definedName name="_xlnm.Print_Area" localSheetId="30">'na levy page13'!$C$2</definedName>
    <definedName name="_xlnm.Print_Area" localSheetId="27">'nhood'!$C$2</definedName>
    <definedName name="_xlnm.Print_Area" localSheetId="31">'no levy page19'!$B$1</definedName>
    <definedName name="_xlnm.Print_Area" localSheetId="33">'ordinance'!$A$2:$G$2</definedName>
    <definedName name="_xlnm.Print_Area" localSheetId="32">'SinNoLevy23'!$C$2</definedName>
    <definedName name="_xlnm.Print_Area" localSheetId="25">'summ'!$A$1:$H$69</definedName>
  </definedNames>
  <calcPr fullCalcOnLoad="1"/>
</workbook>
</file>

<file path=xl/sharedStrings.xml><?xml version="1.0" encoding="utf-8"?>
<sst xmlns="http://schemas.openxmlformats.org/spreadsheetml/2006/main" count="1858" uniqueCount="800">
  <si>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</si>
  <si>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</si>
  <si>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</si>
  <si>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 xml:space="preserve">8.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</si>
  <si>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Outstanding Indebtedness, January 1:</t>
  </si>
  <si>
    <t>If any of the numbers are wrong, change them on this input sheet.</t>
  </si>
  <si>
    <t>Enter the following information from the sources shown.  This information                                              will be entered on the budget forms in the appropriate locations.</t>
  </si>
  <si>
    <t>From the League of Municipalities' Budget Tips (Special City and County Highway Fund):</t>
  </si>
  <si>
    <t>Attest:_____________________,</t>
  </si>
  <si>
    <t>7. Added four single pages for no tax levy fund page.</t>
  </si>
  <si>
    <t>County Treasurers Slider Estimate</t>
  </si>
  <si>
    <t>Slider Factor</t>
  </si>
  <si>
    <t xml:space="preserve">Cities can use the city.xls, city1.xls, city2.xls, city3.xls or city4.xls files.   You must choose a form that meets the needs for the number of funds.  If you don't need all the funds, just leave the pages blank and number the completed pages sequentially. </t>
  </si>
  <si>
    <t>Allocation of MVT, RVT, 16/20M Veh &amp; Slider</t>
  </si>
  <si>
    <t>Allocation of Motor, Recreational, 16/20M Vehicle Tax &amp; Slider</t>
  </si>
  <si>
    <t>Funds</t>
  </si>
  <si>
    <t>Budget Authority</t>
  </si>
  <si>
    <t xml:space="preserve">expenditure amounts should reflect the amended </t>
  </si>
  <si>
    <t>expenditure amounts.</t>
  </si>
  <si>
    <r>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r>
    <r>
      <rPr>
        <b/>
        <sz val="12"/>
        <rFont val="Times New Roman"/>
        <family val="1"/>
      </rPr>
      <t>Do not use the copy and move functions on this page.  Do not add or delete lines on this page.</t>
    </r>
  </si>
  <si>
    <r>
      <t xml:space="preserve">Note: Adjustments are only required if the transfer expenditure </t>
    </r>
    <r>
      <rPr>
        <u val="single"/>
        <sz val="12"/>
        <rFont val="Times New Roman"/>
        <family val="1"/>
      </rPr>
      <t>is not shown</t>
    </r>
    <r>
      <rPr>
        <sz val="12"/>
        <rFont val="Times New Roman"/>
        <family val="1"/>
      </rPr>
      <t xml:space="preserve"> in the Budget Summary total.</t>
    </r>
  </si>
  <si>
    <t>FUND PAGE</t>
  </si>
  <si>
    <t>Net Valuation Factor:</t>
  </si>
  <si>
    <t>Neighborhood Revitalization Subj to Rebate</t>
  </si>
  <si>
    <t>Neighborhood Revitalization factor</t>
  </si>
  <si>
    <t>Neighborhood Revitalization Rebate</t>
  </si>
  <si>
    <t>Miscellaneous</t>
  </si>
  <si>
    <t>Does miscellaneous exceed 10% of Total Expenditures</t>
  </si>
  <si>
    <t>Does miscellaneous exceed 10% of Total Receipts</t>
  </si>
  <si>
    <r>
      <t xml:space="preserve">10.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</si>
  <si>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t xml:space="preserve">11.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</si>
  <si>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</si>
  <si>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</si>
  <si>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</si>
  <si>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t xml:space="preserve">           General Fund - Detail Expend</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</si>
  <si>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r>
      <rPr>
        <b/>
        <sz val="12"/>
        <rFont val="Times New Roman"/>
        <family val="1"/>
      </rPr>
      <t>Do not use the copy and move functions on this page.   Do not add or delete lines on this page</t>
    </r>
    <r>
      <rPr>
        <sz val="12"/>
        <rFont val="Times New Roman"/>
        <family val="1"/>
      </rPr>
      <t>.</t>
    </r>
  </si>
  <si>
    <r>
      <t xml:space="preserve">Budgets are required to be sent to the County Clerk </t>
    </r>
    <r>
      <rPr>
        <b/>
        <sz val="12"/>
        <rFont val="Times New Roman"/>
        <family val="1"/>
      </rPr>
      <t>by August 25</t>
    </r>
    <r>
      <rPr>
        <sz val="12"/>
        <rFont val="Times New Roman"/>
        <family val="1"/>
      </rPr>
      <t xml:space="preserve"> of each year. </t>
    </r>
  </si>
  <si>
    <t>5.  Motor Vehicle and Slider Allocation (mvalloc) are completed from information entered on the input pages (inputpryr and inputoth).  Once calculated, the table information is linked to the applicable fund pages. If the information is not correct, please do not change the table, but rather correct the information on the input pages.</t>
  </si>
  <si>
    <r>
      <t xml:space="preserve">6a. Transfers total are at the bottom of the schedule which are linked to the Budget Summary page. Adjustments are needed to reduce the expenditures when the expenditure transfer </t>
    </r>
    <r>
      <rPr>
        <b/>
        <sz val="12"/>
        <rFont val="Times New Roman"/>
        <family val="1"/>
      </rPr>
      <t>does</t>
    </r>
    <r>
      <rPr>
        <sz val="12"/>
        <rFont val="Times New Roman"/>
        <family val="1"/>
      </rPr>
      <t xml:space="preserve"> not appear in the total for the Budget Summary.</t>
    </r>
  </si>
  <si>
    <t>Enter City Name (City of)</t>
  </si>
  <si>
    <t>Enter County Name followed by "County"</t>
  </si>
  <si>
    <r>
      <t xml:space="preserve">11a. The first green shaded area, you will need to enter the date, month, change the 'YYYY' to the current year, time, and location of the budget hearing.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</si>
  <si>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11b. The second green shaded area, you will to provide the location where the budget information will be available for review.</t>
  </si>
  <si>
    <t>11c. The third green shaded area, provide the title of person that will be signing the form.</t>
  </si>
  <si>
    <t>11d. The fourth green shaded area, enter the page number.</t>
  </si>
  <si>
    <t xml:space="preserve">11e. Before printing, review the form to ensure all the information is provided and the figures are correct. Print the page, have official sign it, and take to the local newspaper for printing. </t>
  </si>
  <si>
    <t>11f.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</si>
  <si>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12.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</si>
  <si>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t>Cash Balance Jan 1</t>
  </si>
  <si>
    <t>***If you are merely leasing/renting with no intent to purchase, do not list--such transactions are not lease-purchases.</t>
  </si>
  <si>
    <t xml:space="preserve">Employee Benefits </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</si>
  <si>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</si>
  <si>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</si>
  <si>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</si>
  <si>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</si>
  <si>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</si>
  <si>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</si>
  <si>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</si>
  <si>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</si>
  <si>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</si>
  <si>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</si>
  <si>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</si>
  <si>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</si>
  <si>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</si>
  <si>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</si>
  <si>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</si>
  <si>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</si>
  <si>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</si>
  <si>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</si>
  <si>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</si>
  <si>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</si>
  <si>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</si>
  <si>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</si>
  <si>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r>
      <t xml:space="preserve">9b.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</si>
  <si>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t>9g. The non-budgeted pages in the last column, the last two boxes should have the same figures as the last box take totals from the right side with the next to last box takes totals from the bottom.</t>
  </si>
  <si>
    <t>Debt Service</t>
  </si>
  <si>
    <t>Non-Appr Bal</t>
  </si>
  <si>
    <t>Tot Exp/Non-Appr Bal</t>
  </si>
  <si>
    <t xml:space="preserve"> Del Comp Rate:</t>
  </si>
  <si>
    <r>
      <t xml:space="preserve"> Sub-Total detail page (</t>
    </r>
    <r>
      <rPr>
        <sz val="12"/>
        <color indexed="10"/>
        <rFont val="Times New Roman"/>
        <family val="1"/>
      </rPr>
      <t>Note should agree with detail</t>
    </r>
    <r>
      <rPr>
        <sz val="12"/>
        <rFont val="Times New Roman"/>
        <family val="1"/>
      </rPr>
      <t>)</t>
    </r>
  </si>
  <si>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</si>
  <si>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</si>
  <si>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</si>
  <si>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</si>
  <si>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</si>
  <si>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</si>
  <si>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</si>
  <si>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</si>
  <si>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</si>
  <si>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</si>
  <si>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t xml:space="preserve">9e. The 4 single no levy pages (SinNoLevy18 to SinNoLevy21) are for a fund that has numerous lines for receipts or expenditures that does not fit on one of the other no levy pages.  Additional lines may be added as needed. </t>
  </si>
  <si>
    <r>
      <t xml:space="preserve">9h.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</si>
  <si>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 xml:space="preserve">10b.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</si>
  <si>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10c. </t>
    </r>
    <r>
      <rPr>
        <b/>
        <sz val="12"/>
        <rFont val="Times New Roman"/>
        <family val="1"/>
      </rPr>
      <t>Note: If you do not have Neighborhood Revitalization, these steps are not done.</t>
    </r>
  </si>
  <si>
    <r>
      <t xml:space="preserve">10a.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</si>
  <si>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</si>
  <si>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</si>
  <si>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</si>
  <si>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r>
      <t>9l. All no-tax levy fund pages for the proposed budget year will have an edit on the unencumbered cash balance. If the cash balance is negative, then the block turns red and statement '</t>
    </r>
    <r>
      <rPr>
        <sz val="12"/>
        <color indexed="10"/>
        <rFont val="Times New Roman"/>
        <family val="1"/>
      </rPr>
      <t>Budget Violation</t>
    </r>
    <r>
      <rPr>
        <sz val="12"/>
        <rFont val="Times New Roman"/>
        <family val="1"/>
      </rPr>
      <t>' will appear. To correct this violation, either the receipts need to be increased or the expenditures must be decreased and the block will no longer be red and the statement will be gone.</t>
    </r>
  </si>
  <si>
    <r>
      <t xml:space="preserve">9d. The Debt Service fund page (DebtService)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</si>
  <si>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</si>
  <si>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</si>
  <si>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</si>
  <si>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</si>
  <si>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4b. Print the Ordinance page (ordinance) if the max levy is exceeded.  Complete the printed ordinance and have it published.  Ensure the published ordinance is attached to the budget.</t>
  </si>
  <si>
    <t xml:space="preserve">Ad Valorem Tax </t>
  </si>
  <si>
    <r>
      <t>4a.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</si>
  <si>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4. The information for the Computation to Determine Limit Page (computation) comes from data on the Input Pages (inputpryr and inputOth) and Debt Service Page (DebtService). If there is incorrect information on the Computation Page, please correct the source of the information from either the Input Pages or Debt Service Page. If you can not correct the error, please call us for assistance.</t>
  </si>
  <si>
    <t>City 2 spreadsheets has General Fund page (general), Debt Service page (DebtService), 10 tax levy pages (levy page9 to levy page13), Special Highway page (Sp Hiway), 11 no levy fund pages (nolevypage15 to nolevypage19 with one under the Sp Hiway tab), 4 single no levy pages (SinNoLevy18-SinNolevy21), and 20 non-budgeted fund pages (NonBudA to NonBudB).</t>
  </si>
  <si>
    <t>9.  The spreadsheet has individual fund sheets for General Fund (general), Debt Service (DebtService), four levy pages (levy page8 and levy page9),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</si>
  <si>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</si>
  <si>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9a. General Detail page 7a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7 as single line items. For example: if several departments have a transfer for equipment reserve, the total of all equipment reserve transfers should be shown on the General Fund page 7 as 'Transfer to Equipment Reserve' for each budgeted year.</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</si>
  <si>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</si>
  <si>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9i. Each fund after the "unencumbered cash bal dec31", will show the budget authority expenditure amount for the actual and current year, Violation of Budget Law, and Possible Cash Violation. </t>
  </si>
  <si>
    <r>
      <t>9j. A comparison is made between the budget authority for the actual year and the actual total expenditures for the actual year as shown in the budget. If the total expenditures exceed the budget authority amount, then a '</t>
    </r>
    <r>
      <rPr>
        <sz val="12"/>
        <color indexed="10"/>
        <rFont val="Times New Roman"/>
        <family val="1"/>
      </rPr>
      <t>Yes</t>
    </r>
    <r>
      <rPr>
        <sz val="12"/>
        <rFont val="Times New Roman"/>
        <family val="1"/>
      </rPr>
      <t>' appears to indicate a violation and the expenditure blocks turns red.  Another comparison is made for the unencumbered cash balance dec 31 to determine if the fund ended with a negative cash balance and if so, then a '</t>
    </r>
    <r>
      <rPr>
        <sz val="12"/>
        <color indexed="10"/>
        <rFont val="Times New Roman"/>
        <family val="1"/>
      </rPr>
      <t>Yes</t>
    </r>
    <r>
      <rPr>
        <sz val="12"/>
        <rFont val="Times New Roman"/>
        <family val="1"/>
      </rPr>
      <t>' will appear for the violation and the unencumbered cash block turns red. No Action is required at this time to correct the violation. The purpose of this tool is to make you aware of the violation and corrective action should take place to prevent future occurrences. The actual year receipts and expenditures should always reflect the events that had taken place even if a violation occurs. If a violation does not occur, then a red '</t>
    </r>
    <r>
      <rPr>
        <sz val="12"/>
        <color indexed="10"/>
        <rFont val="Times New Roman"/>
        <family val="1"/>
      </rPr>
      <t>No</t>
    </r>
    <r>
      <rPr>
        <sz val="12"/>
        <rFont val="Times New Roman"/>
        <family val="1"/>
      </rPr>
      <t>' will appear.</t>
    </r>
  </si>
  <si>
    <r>
      <t>9k. A comparison is mabe between the budget authority for the current year and total expenditures for the current budget expenditures as shown in the budget. If the current year adjusted expenditures are more than the budget authority, then a violation has occurred and red '</t>
    </r>
    <r>
      <rPr>
        <sz val="12"/>
        <color indexed="10"/>
        <rFont val="Times New Roman"/>
        <family val="1"/>
      </rPr>
      <t>Yes</t>
    </r>
    <r>
      <rPr>
        <sz val="12"/>
        <rFont val="Times New Roman"/>
        <family val="1"/>
      </rPr>
      <t>' will appear and expenditure block turns red. Corrective action is to lower the expenditures to bring within the budget authority amount, unless the budget is amended before the proposed budget is approved. If amended, then the inputoth tab should be corrected for the new expenditures budget authority. If a violation does not occur, then a red '</t>
    </r>
    <r>
      <rPr>
        <sz val="12"/>
        <color indexed="10"/>
        <rFont val="Times New Roman"/>
        <family val="1"/>
      </rPr>
      <t>No</t>
    </r>
    <r>
      <rPr>
        <sz val="12"/>
        <rFont val="Times New Roman"/>
        <family val="1"/>
      </rPr>
      <t>' will appear.</t>
    </r>
  </si>
  <si>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</si>
  <si>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</si>
  <si>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</si>
  <si>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</si>
  <si>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r>
      <t>9f. The 2 non-budgeted pages (NonBudA to D) each are designed to hold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Neg Bal</t>
    </r>
    <r>
      <rPr>
        <sz val="12"/>
        <rFont val="Times New Roman"/>
        <family val="1"/>
      </rPr>
      <t xml:space="preserve">' under the unencumbered cash balance. </t>
    </r>
    <r>
      <rPr>
        <u val="single"/>
        <sz val="12"/>
        <rFont val="Times New Roman"/>
        <family val="1"/>
      </rPr>
      <t>No correction is needed</t>
    </r>
    <r>
      <rPr>
        <sz val="12"/>
        <rFont val="Times New Roman"/>
        <family val="1"/>
      </rPr>
      <t xml:space="preserve">, as the negative balance represents the actual ending balance that occurred. This is only to be used to prevent future negative cash balances so as to not to incur a Cash Basis Violation. </t>
    </r>
  </si>
  <si>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</si>
  <si>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</si>
  <si>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</si>
  <si>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</si>
  <si>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</si>
  <si>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</si>
  <si>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</si>
  <si>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</si>
  <si>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</si>
  <si>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</si>
  <si>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</si>
  <si>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</si>
  <si>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</si>
  <si>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</si>
  <si>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</si>
  <si>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</si>
  <si>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</si>
  <si>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</si>
  <si>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</si>
  <si>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</si>
  <si>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</si>
  <si>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</si>
  <si>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</si>
  <si>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</si>
  <si>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</si>
  <si>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State Use Only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</si>
  <si>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</si>
  <si>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</si>
  <si>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</si>
  <si>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</si>
  <si>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</si>
  <si>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</si>
  <si>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</si>
  <si>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</si>
  <si>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</si>
  <si>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</si>
  <si>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</si>
  <si>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</si>
  <si>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</si>
  <si>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</si>
  <si>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</si>
  <si>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</si>
  <si>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</si>
  <si>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</si>
  <si>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</si>
  <si>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</si>
  <si>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</si>
  <si>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</si>
  <si>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</si>
  <si>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</si>
  <si>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</si>
  <si>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</si>
  <si>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</si>
  <si>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</si>
  <si>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</si>
  <si>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</si>
  <si>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Page Total</t>
  </si>
  <si>
    <t xml:space="preserve">The governing body of </t>
  </si>
  <si>
    <t>and will be available at this hearing.</t>
  </si>
  <si>
    <t>Prior Year Actual</t>
  </si>
  <si>
    <t>Actual</t>
  </si>
  <si>
    <t xml:space="preserve">     FUND</t>
  </si>
  <si>
    <t xml:space="preserve"> Expenditures</t>
  </si>
  <si>
    <t>Tax Rate *</t>
  </si>
  <si>
    <t>Expenditures</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</si>
  <si>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</si>
  <si>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</si>
  <si>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</si>
  <si>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</si>
  <si>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</si>
  <si>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</si>
  <si>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</si>
  <si>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</si>
  <si>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</si>
  <si>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</si>
  <si>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</si>
  <si>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</si>
  <si>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</si>
  <si>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</si>
  <si>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</si>
  <si>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</si>
  <si>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</si>
  <si>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</si>
  <si>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</si>
  <si>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</si>
  <si>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</si>
  <si>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</si>
  <si>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</si>
  <si>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</si>
  <si>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</si>
  <si>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</si>
  <si>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</si>
  <si>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</si>
  <si>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</si>
  <si>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</si>
  <si>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</si>
  <si>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</si>
  <si>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</si>
  <si>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</si>
  <si>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</si>
  <si>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</si>
  <si>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To print the spreadsheets, you can either print one sheet at a time or all of the sheets at once.</t>
  </si>
  <si>
    <t>Computer Spreadsheet Preparation</t>
  </si>
  <si>
    <t>We, the undersigned,  officers of</t>
  </si>
  <si>
    <t>Received_______________</t>
  </si>
  <si>
    <t>Reviewed by___________</t>
  </si>
  <si>
    <t>Follow-up:  Yes___No___</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</si>
  <si>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</si>
  <si>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</si>
  <si>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</si>
  <si>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</si>
  <si>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</si>
  <si>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</si>
  <si>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</si>
  <si>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</si>
  <si>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</si>
  <si>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</si>
  <si>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</si>
  <si>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</si>
  <si>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</si>
  <si>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hearing and answering objections of taxpayers relating  to the proposed use of all funds and the amount of ad valorem tax.</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</si>
  <si>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</si>
  <si>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</si>
  <si>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</si>
  <si>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</si>
  <si>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</si>
  <si>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</si>
  <si>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</si>
  <si>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</si>
  <si>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</si>
  <si>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</si>
  <si>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</si>
  <si>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</si>
  <si>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</si>
  <si>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</si>
  <si>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</si>
  <si>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</si>
  <si>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</si>
  <si>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</si>
  <si>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</si>
  <si>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</si>
  <si>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</si>
  <si>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</si>
  <si>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</si>
  <si>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</si>
  <si>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</si>
  <si>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</si>
  <si>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</si>
  <si>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</si>
  <si>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</si>
  <si>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</si>
  <si>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</si>
  <si>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</si>
  <si>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</si>
  <si>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</si>
  <si>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</si>
  <si>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</si>
  <si>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</si>
  <si>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</si>
  <si>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</si>
  <si>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</si>
  <si>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</si>
  <si>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</si>
  <si>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</si>
  <si>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</si>
  <si>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</si>
  <si>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</si>
  <si>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</si>
  <si>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</si>
  <si>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</si>
  <si>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</si>
  <si>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</si>
  <si>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</si>
  <si>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</si>
  <si>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</si>
  <si>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</si>
  <si>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</si>
  <si>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</si>
  <si>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Page No. 7</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</si>
  <si>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</si>
  <si>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</si>
  <si>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</si>
  <si>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</si>
  <si>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ATTEST: /s/ _________________</t>
  </si>
  <si>
    <t>City Clerk</t>
  </si>
  <si>
    <t>(SEAL)</t>
  </si>
  <si>
    <t>(Must be published and publication attached to budget)</t>
  </si>
  <si>
    <t xml:space="preserve">Mayor                    </t>
  </si>
  <si>
    <t>Page No. 7a</t>
  </si>
  <si>
    <t>7b</t>
  </si>
  <si>
    <t xml:space="preserve">Fund </t>
  </si>
  <si>
    <t>Current</t>
  </si>
  <si>
    <t>Proposed</t>
  </si>
  <si>
    <t>City 2 Spreadsheet Instructions</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</si>
  <si>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</si>
  <si>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</si>
  <si>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Current Year Estimate</t>
  </si>
  <si>
    <t>Proposed Budget Year</t>
  </si>
  <si>
    <t>In Lieu of Tax (IRB)</t>
  </si>
  <si>
    <t>NON-BUDGETED FUNDS (A)</t>
  </si>
  <si>
    <t>(1) Fund Name:</t>
  </si>
  <si>
    <t>(2) Fund Name:</t>
  </si>
  <si>
    <t>(3) Fund Name:</t>
  </si>
  <si>
    <t>(4) Fund Name:</t>
  </si>
  <si>
    <t>(5) Fund Name:</t>
  </si>
  <si>
    <t xml:space="preserve">Unencumbered </t>
  </si>
  <si>
    <t>Cash Balance Dec 31</t>
  </si>
  <si>
    <t>NON-BUDGETED FUNDS (B)</t>
  </si>
  <si>
    <t>NON-BUDGETED FUNDS (C)</t>
  </si>
  <si>
    <t>NON-BUDGETED FUNDS (D)</t>
  </si>
  <si>
    <t>Territory Added: (Current Year Only)</t>
  </si>
  <si>
    <t>Neighborhood Revitalization</t>
  </si>
  <si>
    <t>Bond &amp; Interest</t>
  </si>
  <si>
    <t>16\20 M Vehicle Tax</t>
  </si>
  <si>
    <t>LAVTR</t>
  </si>
  <si>
    <t>City and County Revenue Sharing</t>
  </si>
  <si>
    <t>Slider</t>
  </si>
  <si>
    <t xml:space="preserve">   </t>
  </si>
  <si>
    <t>Rate used in this budget-this will be shown on all fund pages with a tax levy</t>
  </si>
  <si>
    <t>Enter year being budgeted (YYYY)</t>
  </si>
  <si>
    <t>10-113</t>
  </si>
  <si>
    <t xml:space="preserve">  G.O. Bonds</t>
  </si>
  <si>
    <t xml:space="preserve">  Revenue Bonds</t>
  </si>
  <si>
    <t xml:space="preserve">  Other</t>
  </si>
  <si>
    <t xml:space="preserve">  Lease Purchase Principal</t>
  </si>
  <si>
    <t>Other (non-tax levy) fund names:</t>
  </si>
  <si>
    <t xml:space="preserve">City Official Title: </t>
  </si>
  <si>
    <t>Salaries &amp; Wages</t>
  </si>
  <si>
    <t xml:space="preserve">Prior Year Actual </t>
  </si>
  <si>
    <t>County Transfers Gas</t>
  </si>
  <si>
    <t>Ad Valorem</t>
  </si>
  <si>
    <t>Tax</t>
  </si>
  <si>
    <t>Beginning Amount</t>
  </si>
  <si>
    <t xml:space="preserve">of </t>
  </si>
  <si>
    <t>Outstanding</t>
  </si>
  <si>
    <t>Retirement</t>
  </si>
  <si>
    <t xml:space="preserve">Total Other </t>
  </si>
  <si>
    <t>Transfers</t>
  </si>
  <si>
    <t xml:space="preserve">Transferred </t>
  </si>
  <si>
    <t>Transferred</t>
  </si>
  <si>
    <t>Amount for</t>
  </si>
  <si>
    <t>Authorized by</t>
  </si>
  <si>
    <t>From:</t>
  </si>
  <si>
    <t>To:</t>
  </si>
  <si>
    <t xml:space="preserve"> Statute</t>
  </si>
  <si>
    <t>Adjustments</t>
  </si>
  <si>
    <t>Adjusted Totals</t>
  </si>
  <si>
    <t xml:space="preserve">Budget Tax Levy Amt </t>
  </si>
  <si>
    <t>Budgeted Fund</t>
  </si>
  <si>
    <t>adopt an ordinance to exceed this limit, publish the ordinance, and</t>
  </si>
  <si>
    <t>attach a copy of the published ordinance to this budget.</t>
  </si>
  <si>
    <t>Non-Budgeted Funds-C</t>
  </si>
  <si>
    <t>Non-Budgeted Funds-D</t>
  </si>
  <si>
    <t>Non-Budgeted Funds-B</t>
  </si>
  <si>
    <t>Non-Budgeted Funds-A</t>
  </si>
  <si>
    <t>Estimate</t>
  </si>
  <si>
    <t xml:space="preserve">Section Two.  After careful public deliberations, the governing body has determined that </t>
  </si>
  <si>
    <t xml:space="preserve">in order to maintain the public services that are essential for the citizens of this city, it will be </t>
  </si>
  <si>
    <t>budget.</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</si>
  <si>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</si>
  <si>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</si>
  <si>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</si>
  <si>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</si>
  <si>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</si>
  <si>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</si>
  <si>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</si>
  <si>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</si>
  <si>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</si>
  <si>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</si>
  <si>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</si>
  <si>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</si>
  <si>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</si>
  <si>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</si>
  <si>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</si>
  <si>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</si>
  <si>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Read these instructions carefully.  If after reviewing them you still have questions, call Municipal Services at 785-296-2311 or e-mail : armunis@da.ks.gov</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</si>
  <si>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</si>
  <si>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</si>
  <si>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</si>
  <si>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</si>
  <si>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</si>
  <si>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</si>
  <si>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3.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</si>
  <si>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3a.  If someone other than a municipal employee assists in preparing the budget, please enter the person's or firm's name and address in the area provided. </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</si>
  <si>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</si>
  <si>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</si>
  <si>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</si>
  <si>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</si>
  <si>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</si>
  <si>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</si>
  <si>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</si>
  <si>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</si>
  <si>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Is an Ordinance required  to be passed, published, and attached to the budget?</t>
  </si>
  <si>
    <t>November 1st Total Assessed Valuation</t>
  </si>
  <si>
    <t>3b.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</si>
  <si>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r>
      <t xml:space="preserve">7.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</si>
  <si>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t>**</t>
  </si>
  <si>
    <t>**Note: The two bold yellow figures should agree.</t>
  </si>
  <si>
    <t>**Note: These two block figures should agree.</t>
  </si>
  <si>
    <t>6.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</si>
  <si>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9c.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</si>
  <si>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</si>
  <si>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</si>
  <si>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</si>
  <si>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</si>
  <si>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</si>
  <si>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</si>
  <si>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</si>
  <si>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</si>
  <si>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</si>
  <si>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</si>
  <si>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</si>
  <si>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</si>
  <si>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</si>
  <si>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The following were changed to this spreadsheet on 3/19/09</t>
  </si>
  <si>
    <t>1. Certificate page Bond &amp; Interest to Debt Service</t>
  </si>
  <si>
    <t>Ord #620</t>
  </si>
  <si>
    <t>Employee Benefit Fund</t>
  </si>
  <si>
    <t>12-16,102</t>
  </si>
  <si>
    <t>Library Fund</t>
  </si>
  <si>
    <t>12-1220</t>
  </si>
  <si>
    <t>Library Employee Benefits</t>
  </si>
  <si>
    <t>Convention &amp; Tourism</t>
  </si>
  <si>
    <t>Special Alcohol/Drug(Police)</t>
  </si>
  <si>
    <t>Special Alcohol (Park)</t>
  </si>
  <si>
    <t>Police &amp; Court Training</t>
  </si>
  <si>
    <t>Solid Waste Utility Fund</t>
  </si>
  <si>
    <t>Sewer Special Reserve Funds</t>
  </si>
  <si>
    <t>Water Special Reserve Funds</t>
  </si>
  <si>
    <t>Sewer Utility</t>
  </si>
  <si>
    <t>Water Utility</t>
  </si>
  <si>
    <t>Roving Senior Director Trust</t>
  </si>
  <si>
    <t>Capital Impovement Fd.</t>
  </si>
  <si>
    <t>Capital Equipment Fd</t>
  </si>
  <si>
    <t>Capital Equipment Fund</t>
  </si>
  <si>
    <t>City Expendable Trust Fd</t>
  </si>
  <si>
    <t>Law Enforcement Trust Fd</t>
  </si>
  <si>
    <t>Capital Projects</t>
  </si>
  <si>
    <t>Grant Projects</t>
  </si>
  <si>
    <t>Sewer CIP/CEF Reserves</t>
  </si>
  <si>
    <t>Sewer Bond Reserve Fd</t>
  </si>
  <si>
    <t>Sewer Deprec Reserve Fd</t>
  </si>
  <si>
    <t>Sewer Surplus Reserve Fd</t>
  </si>
  <si>
    <t>Water CIP/CEF Res Fd</t>
  </si>
  <si>
    <t>Water Bond Reserve Fd</t>
  </si>
  <si>
    <t>Water Deprec Reserve Fd</t>
  </si>
  <si>
    <t>Water Surplus Reserve Fd</t>
  </si>
  <si>
    <t>Special Bridge Construction</t>
  </si>
  <si>
    <t>General Fund-Admin</t>
  </si>
  <si>
    <t>General Fund-Code Enforc</t>
  </si>
  <si>
    <t>General Fund-Park &amp; Rec</t>
  </si>
  <si>
    <t>General Fund-Streets</t>
  </si>
  <si>
    <t>General Fund-Maintenance</t>
  </si>
  <si>
    <t>General Fund-Gov. Body</t>
  </si>
  <si>
    <t>Cap Improv Fd</t>
  </si>
  <si>
    <t>General Fund-Park Board</t>
  </si>
  <si>
    <t>General Fund-Sr. Center</t>
  </si>
  <si>
    <t>Roving Senior Director Fd</t>
  </si>
  <si>
    <t>Ballfield Lights Fund</t>
  </si>
  <si>
    <t>Water O &amp; M</t>
  </si>
  <si>
    <t>General Fund</t>
  </si>
  <si>
    <t>Water Special Res Fds (Improvements)</t>
  </si>
  <si>
    <t>Water Reserve Fd (Surplus)</t>
  </si>
  <si>
    <t>Water Reserve Fd (CIP/CEF)</t>
  </si>
  <si>
    <t>Sewer O &amp; M</t>
  </si>
  <si>
    <t>Sewer Spec Reserve Fd (Improvements)</t>
  </si>
  <si>
    <t>Sewer Reserve Fd(CIP/CEF)</t>
  </si>
  <si>
    <t>Sewer Reserve Fd(Surplus)</t>
  </si>
  <si>
    <t>Capital Improvement Fund</t>
  </si>
  <si>
    <t>KSA 12-1,117</t>
  </si>
  <si>
    <t>KSA 12-1,118</t>
  </si>
  <si>
    <t>KSA 12-825d</t>
  </si>
  <si>
    <t>GO-2003-A</t>
  </si>
  <si>
    <t>GO-2003-B</t>
  </si>
  <si>
    <t>GO-2004-A &amp; Refunding</t>
  </si>
  <si>
    <t>GO-2004-B</t>
  </si>
  <si>
    <t>GO-2005-A</t>
  </si>
  <si>
    <t>GO-2006-A **</t>
  </si>
  <si>
    <t>GO-2006-B</t>
  </si>
  <si>
    <t>GO-2006-C</t>
  </si>
  <si>
    <t>GO-2007-A</t>
  </si>
  <si>
    <t>GO-2007-B &amp; Refunding</t>
  </si>
  <si>
    <t xml:space="preserve">The City does not have any Revenue Bonds but is responsible for its portion of those issued by the Chisholm Creek Utility Authority. </t>
  </si>
  <si>
    <t>GO Temp Notes 2007-2</t>
  </si>
  <si>
    <t>GO Temp Notes 2007-3</t>
  </si>
  <si>
    <t>GO Temp Notes 2008-1</t>
  </si>
  <si>
    <t>City Hall Bldg &amp; Improvements</t>
  </si>
  <si>
    <t xml:space="preserve">Hyundai Excavator </t>
  </si>
  <si>
    <t>Land for New City Hall</t>
  </si>
  <si>
    <t>Pitney Bowes Postage Machine</t>
  </si>
  <si>
    <t>Local Retailers' Sales Tax</t>
  </si>
  <si>
    <t>County Department of Aging</t>
  </si>
  <si>
    <t>Franchise Tax</t>
  </si>
  <si>
    <t>Contractor Applications</t>
  </si>
  <si>
    <t>Plan Review Fees</t>
  </si>
  <si>
    <t>Contractor's Licenses</t>
  </si>
  <si>
    <t>Building Permits</t>
  </si>
  <si>
    <t>Liquor License</t>
  </si>
  <si>
    <t>Animal Permits</t>
  </si>
  <si>
    <t>State Exam Applications</t>
  </si>
  <si>
    <t>Garage Sales</t>
  </si>
  <si>
    <t>Fireworks Permits</t>
  </si>
  <si>
    <t>Miscellaneous Permits</t>
  </si>
  <si>
    <t>Rental Home Fees</t>
  </si>
  <si>
    <t>Zoning and Subdivision Fees</t>
  </si>
  <si>
    <t>Swimming Pool Revenue</t>
  </si>
  <si>
    <t>Community Building Rental Fees</t>
  </si>
  <si>
    <t>Senior Center Rental</t>
  </si>
  <si>
    <t>Police Reports</t>
  </si>
  <si>
    <t>Miscellaneous Income</t>
  </si>
  <si>
    <t>Animal Shelter Reimbursements</t>
  </si>
  <si>
    <t>Municipal Court Fines</t>
  </si>
  <si>
    <t>Municipal Court Costs</t>
  </si>
  <si>
    <t>Returned Check Fees</t>
  </si>
  <si>
    <t>Cancelled Encumbrances</t>
  </si>
  <si>
    <t>Transfer From Water Fund</t>
  </si>
  <si>
    <t>Transfer From Sewer Fund</t>
  </si>
  <si>
    <t>General Administration</t>
  </si>
  <si>
    <t xml:space="preserve">  General Admin Transfers to CEF</t>
  </si>
  <si>
    <t>Municipal Court</t>
  </si>
  <si>
    <t xml:space="preserve">  Governing Body Transfer to CIP Fund</t>
  </si>
  <si>
    <t xml:space="preserve">  Governing Body Transfer to Bond Fund</t>
  </si>
  <si>
    <t>Human Resources Department</t>
  </si>
  <si>
    <t>Police Department</t>
  </si>
  <si>
    <t xml:space="preserve">  Police Transfers to CEF</t>
  </si>
  <si>
    <t>Code Enforcement &amp; Inspections</t>
  </si>
  <si>
    <t xml:space="preserve">  Code Enforcement Transfers to CEF</t>
  </si>
  <si>
    <t>Legal Department</t>
  </si>
  <si>
    <t>Planning &amp; Zoning Department</t>
  </si>
  <si>
    <t>Senior Center</t>
  </si>
  <si>
    <t xml:space="preserve">  Senior Center Transfer to Senior Director Fd</t>
  </si>
  <si>
    <t>Street Lights</t>
  </si>
  <si>
    <t>Park &amp; Recreation</t>
  </si>
  <si>
    <t xml:space="preserve">  Park &amp; Recreation Transfer to CEF</t>
  </si>
  <si>
    <t>Park &amp; Tree Board</t>
  </si>
  <si>
    <t xml:space="preserve">  Park &amp; Tree Board Transfer to CIP</t>
  </si>
  <si>
    <t>Swimming Pool</t>
  </si>
  <si>
    <t xml:space="preserve">  Swimming Pool Transfer to CIP</t>
  </si>
  <si>
    <t>Community Building</t>
  </si>
  <si>
    <t>Streets</t>
  </si>
  <si>
    <t xml:space="preserve">  Streets Transfer to CEF</t>
  </si>
  <si>
    <t xml:space="preserve">  Streets Transfer to CIP</t>
  </si>
  <si>
    <t>Maintenance</t>
  </si>
  <si>
    <t xml:space="preserve">  Maintenance Transfer to CEF</t>
  </si>
  <si>
    <t>Historian</t>
  </si>
  <si>
    <t>Pride Community Building</t>
  </si>
  <si>
    <t>Transfers Out (Summary)</t>
  </si>
  <si>
    <t xml:space="preserve">  Total Transfers above</t>
  </si>
  <si>
    <t>Transfer in-Ballfield Lights Fd (2003B)</t>
  </si>
  <si>
    <t>Special Assessments</t>
  </si>
  <si>
    <t>Transfer from General Fund</t>
  </si>
  <si>
    <t>Transfer from Capital Project Funds</t>
  </si>
  <si>
    <t>Parking Lot Reimbursement</t>
  </si>
  <si>
    <t>Bond Interest</t>
  </si>
  <si>
    <t>Bond Principal</t>
  </si>
  <si>
    <t>Cash Basis Reserve</t>
  </si>
  <si>
    <t>Transfer in from Sewer Fund</t>
  </si>
  <si>
    <t>In Lieu of Taxes</t>
  </si>
  <si>
    <t>Transfer to Bond Fund</t>
  </si>
  <si>
    <t>Sociall Security &amp; Medicare</t>
  </si>
  <si>
    <t>Health Insurance</t>
  </si>
  <si>
    <t>KPERS</t>
  </si>
  <si>
    <t>Unemployment</t>
  </si>
  <si>
    <t>Worker Compensation</t>
  </si>
  <si>
    <t>KP&amp;F</t>
  </si>
  <si>
    <t>Social Security &amp; Medicare</t>
  </si>
  <si>
    <t>Payment in Lieu of Taxes</t>
  </si>
  <si>
    <t>Reimbursements From Library</t>
  </si>
  <si>
    <t>Remittance to Library</t>
  </si>
  <si>
    <t>Reimbursements from Library</t>
  </si>
  <si>
    <t>Remit to Library</t>
  </si>
  <si>
    <t>Library Medical Insurance</t>
  </si>
  <si>
    <t>Contracted Services</t>
  </si>
  <si>
    <t>Equipment</t>
  </si>
  <si>
    <t>Capital Outlay</t>
  </si>
  <si>
    <t>Transfer to CIP Fund</t>
  </si>
  <si>
    <t>Sewer Service</t>
  </si>
  <si>
    <t>Inspection Fees</t>
  </si>
  <si>
    <t>Transfer from Sewer Surplus Fund</t>
  </si>
  <si>
    <t>Unemployment/Work Comp/Group Life</t>
  </si>
  <si>
    <t>Training</t>
  </si>
  <si>
    <t>CCUA Operation &amp; Maintenance</t>
  </si>
  <si>
    <t>Attorney Fees</t>
  </si>
  <si>
    <t>Auditor Fees</t>
  </si>
  <si>
    <t>Telephone</t>
  </si>
  <si>
    <t>Uniforms</t>
  </si>
  <si>
    <t>Utilities</t>
  </si>
  <si>
    <t>Supplies/Office Supplies/Copier Expense</t>
  </si>
  <si>
    <t>Insurance</t>
  </si>
  <si>
    <t>Repair &amp; Maintenance</t>
  </si>
  <si>
    <t>Computer Expense</t>
  </si>
  <si>
    <t>Vehicle Fuel/Repair &amp; Maintenance</t>
  </si>
  <si>
    <t>Bad Debt Expense</t>
  </si>
  <si>
    <t>Testing</t>
  </si>
  <si>
    <t>Debt Service-CCUA</t>
  </si>
  <si>
    <t>CCUA Sewer Contingency Reserve</t>
  </si>
  <si>
    <t xml:space="preserve">Shop Maintenance Expense </t>
  </si>
  <si>
    <t>Transfer to Sewer Reserve CIP/CEF</t>
  </si>
  <si>
    <t>Transfer to Sewer Reserves (Surplus Fund)</t>
  </si>
  <si>
    <t>Transfer to Special Sewer Reserve (Improvement)</t>
  </si>
  <si>
    <t>Transfer to Bond Fund (GO Debt Service)</t>
  </si>
  <si>
    <t>Transfer to General Fund</t>
  </si>
  <si>
    <t>Water Sales</t>
  </si>
  <si>
    <t>Late Fees</t>
  </si>
  <si>
    <t>Hook-On Charges</t>
  </si>
  <si>
    <t>Water Transfer/Special Fee</t>
  </si>
  <si>
    <t>Reconnect Charges/Cross Connect/Bad Debt</t>
  </si>
  <si>
    <t>Reimbursement for Expenses</t>
  </si>
  <si>
    <t>Transfer From Water Reserve Fund (Surplus)</t>
  </si>
  <si>
    <t xml:space="preserve">Training </t>
  </si>
  <si>
    <t>CCUA Operations/Maintenance</t>
  </si>
  <si>
    <t>Engineering Services</t>
  </si>
  <si>
    <t>Telephone Expense</t>
  </si>
  <si>
    <t>Insurance Expense</t>
  </si>
  <si>
    <t>Vehicle Fuel &amp; Maintenance Expense</t>
  </si>
  <si>
    <t>Interest-Meter Deposits</t>
  </si>
  <si>
    <t>Clean Drinking Water Fe</t>
  </si>
  <si>
    <t>Bad Debt</t>
  </si>
  <si>
    <t xml:space="preserve">Testing </t>
  </si>
  <si>
    <t>Water Purchase-Wichita</t>
  </si>
  <si>
    <t>CCUA Debt Service</t>
  </si>
  <si>
    <t>CCUA Water Contingency</t>
  </si>
  <si>
    <t>Shop Maintenance Expense (25%)</t>
  </si>
  <si>
    <t>Transfer to Reserve Funds (CIP/CEF)</t>
  </si>
  <si>
    <t>Transfer to Reserve Funds (Surplus)</t>
  </si>
  <si>
    <t>Transfer to Special Reserve Funds (Improvement)</t>
  </si>
  <si>
    <t>Sedgwick County Department of Aging</t>
  </si>
  <si>
    <t>City of Bel Aire</t>
  </si>
  <si>
    <t>City of Maize</t>
  </si>
  <si>
    <t>Transfers in - General Fund Sr. Center Dept..</t>
  </si>
  <si>
    <t>Other Employee Benefits</t>
  </si>
  <si>
    <t>Mileage &amp; Meal Reimbursements</t>
  </si>
  <si>
    <t>Office Supplies</t>
  </si>
  <si>
    <t>Tfr-Gen Fd Gov Body</t>
  </si>
  <si>
    <t>Tfr-Gen Fd Park Bd</t>
  </si>
  <si>
    <t>Tfr-Gen Fs Streets</t>
  </si>
  <si>
    <t>Tfr-Spec Streets &amp; Hiway</t>
  </si>
  <si>
    <t>Prks-Irrigation</t>
  </si>
  <si>
    <t>Sidewalks</t>
  </si>
  <si>
    <t>City Hall Land Lease</t>
  </si>
  <si>
    <t>Tfr-Gen Fd. Admin</t>
  </si>
  <si>
    <t>Tfr-Gen Fd Code Enf</t>
  </si>
  <si>
    <t>Trf-Gen Fd Park/Rec</t>
  </si>
  <si>
    <t>Tfr-Gen Fd Streets</t>
  </si>
  <si>
    <t>Tfr-Gen Fd Maintenance</t>
  </si>
  <si>
    <t>Donations</t>
  </si>
  <si>
    <t>Park Benches</t>
  </si>
  <si>
    <t>Drug Tax</t>
  </si>
  <si>
    <t>Interest Earned</t>
  </si>
  <si>
    <t>Supplies</t>
  </si>
  <si>
    <t>Temporary Notes</t>
  </si>
  <si>
    <t>Bonds</t>
  </si>
  <si>
    <t>Prepaid Specials</t>
  </si>
  <si>
    <t>Park &amp; Wildlife Grant</t>
  </si>
  <si>
    <t>Hopme Improvements</t>
  </si>
  <si>
    <t>Pond Maintenance</t>
  </si>
  <si>
    <t>Transfer In</t>
  </si>
  <si>
    <t>Tfr-Cap Projects</t>
  </si>
  <si>
    <t>Tfr-Sew O&amp;M</t>
  </si>
  <si>
    <t>Tfr-Sew Reserve</t>
  </si>
  <si>
    <t>Tfr-Sewer O&amp;M</t>
  </si>
  <si>
    <t>will meet on the 11th  day of August, 2009, at 7  p.m. at the  City Council Chambers in City Hall for the purpose of</t>
  </si>
  <si>
    <t>Detailed budget information is available at City Hall, 6110 North Hydraulic, Park City, KS</t>
  </si>
  <si>
    <t>City Clerk/Finance Director</t>
  </si>
  <si>
    <t>GO-2001-A</t>
  </si>
  <si>
    <t>GO-2001-B</t>
  </si>
  <si>
    <t>6/01+12/01</t>
  </si>
  <si>
    <t>GO-2008-A</t>
  </si>
  <si>
    <t>CITY OF PARK CITY</t>
  </si>
  <si>
    <t>SEDGWICK COUNTY</t>
  </si>
  <si>
    <t>Bond Administrative Fees</t>
  </si>
  <si>
    <t>Transfer to Bridge Special Project Fund</t>
  </si>
  <si>
    <t>State Payments - Local Liquor Tax</t>
  </si>
  <si>
    <t>Prevention Education</t>
  </si>
  <si>
    <t>Prevention Events</t>
  </si>
  <si>
    <t>Police &amp; Court Training Fee</t>
  </si>
  <si>
    <t>Polilce Training</t>
  </si>
  <si>
    <t>Court Training</t>
  </si>
  <si>
    <t>Code Enforcement Training</t>
  </si>
  <si>
    <t>Salaries</t>
  </si>
  <si>
    <t>Mileage Reimbursement</t>
  </si>
  <si>
    <t>Computer/Internet Expense</t>
  </si>
  <si>
    <t>C &amp; T Contingent Reserve</t>
  </si>
  <si>
    <t>General Promotion</t>
  </si>
  <si>
    <t>Professional Sports</t>
  </si>
  <si>
    <t>Sports Commission</t>
  </si>
  <si>
    <t>C &amp; T Transfer Outs</t>
  </si>
  <si>
    <t>In City Events &amp; Promotions</t>
  </si>
  <si>
    <t>Bad Debt Collection</t>
  </si>
  <si>
    <t>Reimbursed Expense</t>
  </si>
  <si>
    <t>Law Suit Revenue</t>
  </si>
  <si>
    <t>Water Reimbursed Expense</t>
  </si>
  <si>
    <t>Flexible Spending Fund</t>
  </si>
  <si>
    <t>Special Highway Fund</t>
  </si>
  <si>
    <t xml:space="preserve">  Park &amp; Tree Board Transfer to CEF</t>
  </si>
  <si>
    <t xml:space="preserve">  Park &amp; Recreation Transfer to Special Project Fd</t>
  </si>
  <si>
    <t>Area Events &amp; Promotions</t>
  </si>
  <si>
    <t>Recycle Revenue</t>
  </si>
  <si>
    <t>Solid Waste Revenue</t>
  </si>
  <si>
    <t>Administrative Fees</t>
  </si>
  <si>
    <t>Delinquent Fees/Penalties</t>
  </si>
  <si>
    <t>GMAC</t>
  </si>
  <si>
    <t xml:space="preserve">Construction </t>
  </si>
  <si>
    <t>Engineering</t>
  </si>
  <si>
    <t>Temp Note Pymts</t>
  </si>
  <si>
    <t>Costs of Issue</t>
  </si>
  <si>
    <t>Interest Expense</t>
  </si>
  <si>
    <t>Land Purchase</t>
  </si>
  <si>
    <t>Transfers out</t>
  </si>
  <si>
    <t>Tfr-Special Streets</t>
  </si>
  <si>
    <t>Police FESA Fund</t>
  </si>
  <si>
    <t>Police KS Drug Tax Fund</t>
  </si>
  <si>
    <t>FESA Forfeitures</t>
  </si>
  <si>
    <t>Interest Income</t>
  </si>
  <si>
    <t>(Please note, the City Hall Bldg. &amp; Improvements, Hyundai Excavator, and GMAC balances were paid in full in 2009)</t>
  </si>
  <si>
    <t>Improvement Fees</t>
  </si>
  <si>
    <t>Equity Fees</t>
  </si>
  <si>
    <t>Bond Payments</t>
  </si>
  <si>
    <t>Reimbursements</t>
  </si>
  <si>
    <t>Rec Building</t>
  </si>
  <si>
    <t>Tfr&gt;Maint Bldg Proj</t>
  </si>
  <si>
    <t>Tfr-Park &amp; Rec Bd.</t>
  </si>
  <si>
    <t>Baseball Program</t>
  </si>
  <si>
    <t>Flags</t>
  </si>
  <si>
    <t>CCUA-Contingency</t>
  </si>
  <si>
    <t>Tfr-Cap Project Fd</t>
  </si>
  <si>
    <t>Tfr-Water O&amp;M</t>
  </si>
  <si>
    <t>CCUA Contingency</t>
  </si>
  <si>
    <t>CCUA Reimbursement Fd</t>
  </si>
  <si>
    <t>Water Surplus-Settlemnt Fds</t>
  </si>
  <si>
    <t>Miscellaneous Rev.</t>
  </si>
  <si>
    <t>Benefits</t>
  </si>
  <si>
    <t>Cell Phones</t>
  </si>
  <si>
    <t>Vehicle R&amp;M</t>
  </si>
  <si>
    <t>Misc. Exp</t>
  </si>
  <si>
    <t>Tfr-Employee Ben Fd</t>
  </si>
  <si>
    <t>Bond &amp; Interest-Ballfield Lgts</t>
  </si>
  <si>
    <t>Payroll"Section 125"Flex Fd</t>
  </si>
  <si>
    <t>Transient Guest Tax</t>
  </si>
  <si>
    <t>CCUA Water/Sewer Fund</t>
  </si>
  <si>
    <t>Cancelled Encumbrance</t>
  </si>
  <si>
    <t>Supplies   ???</t>
  </si>
  <si>
    <t>Water Reserve Fd (MTBE Surplus)</t>
  </si>
  <si>
    <t>Tfr-Capital Projects</t>
  </si>
  <si>
    <t>Insurance &amp; Other Costs</t>
  </si>
  <si>
    <t xml:space="preserve">THIS FUND WAS BUDGETED IN ERROR IN 2008 </t>
  </si>
  <si>
    <t>SEE NON BUDGET PAGE D</t>
  </si>
  <si>
    <t>____________________</t>
  </si>
  <si>
    <t>TFR FROM MTBE SETTLEMENT FUNDS:</t>
  </si>
  <si>
    <t>****</t>
  </si>
  <si>
    <t>General Fund-Court</t>
  </si>
  <si>
    <t xml:space="preserve">  Municipal Court Transfers to CEF</t>
  </si>
  <si>
    <t>Tfr-Wat Spec Reserve</t>
  </si>
  <si>
    <t>Tfr-Cap Improv Fd</t>
  </si>
  <si>
    <t>Tfr-General Fd</t>
  </si>
  <si>
    <t xml:space="preserve">9,000 &amp; 4,000 will be transferred in </t>
  </si>
  <si>
    <t>2008 &amp; 2009 respectively</t>
  </si>
  <si>
    <t xml:space="preserve">4,000 &amp; 5,000 will be transferred in </t>
  </si>
  <si>
    <t>Special Bridge Const Fd</t>
  </si>
  <si>
    <t>Tfr&gt;Capital Projects</t>
  </si>
  <si>
    <t>Tfr&gt;Water Bond Reserve</t>
  </si>
  <si>
    <t>Tfr-Water Surplus Fd</t>
  </si>
  <si>
    <t>Transfers In (Water O&amp;M)</t>
  </si>
  <si>
    <t>Transfers In (Sewer O&amp;M)</t>
  </si>
  <si>
    <t>Transfer to Reserve Funds (MTBE Surplus)</t>
  </si>
  <si>
    <t>Transfer Out-Section 125 Plan</t>
  </si>
  <si>
    <t>2008 &amp; 2009 respectively to Sewer O&amp;M</t>
  </si>
  <si>
    <t>200,000 &amp; 348,000 will be transferred out</t>
  </si>
  <si>
    <t xml:space="preserve">   out 2008 &amp; 2009 respectively to </t>
  </si>
  <si>
    <t xml:space="preserve">   Sewer O&amp;M</t>
  </si>
  <si>
    <t>200,000 &amp; 320,000 will be transferred</t>
  </si>
  <si>
    <t>Law Enf Trust Fund</t>
  </si>
  <si>
    <t>Police KS Drug Tax Fd</t>
  </si>
  <si>
    <t>Auditor's Adjustment to Beginning Balance</t>
  </si>
  <si>
    <t>Tfr-Police FESA</t>
  </si>
  <si>
    <t>Tfr-Police Drug Tax</t>
  </si>
  <si>
    <t>Tfr-Law Enf Trust Fd</t>
  </si>
  <si>
    <t>Police Reserves</t>
  </si>
  <si>
    <t xml:space="preserve">  Budget Change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</si>
</sst>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00%"/>
    <numFmt numFmtId="187" formatCode=".000%"/>
    <numFmt numFmtId="188" formatCode="#,##0.000"/>
    <numFmt numFmtId="189" formatCode="#,##0.0"/>
  </numFmts>
  <fonts count="61">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9"/>
      <name val="Times New Roman"/>
      <family val="1"/>
    </font>
    <font>
      <sz val="8"/>
      <name val="Courier"/>
      <family val="3"/>
    </font>
    <font>
      <u val="single"/>
      <sz val="12"/>
      <color indexed="12"/>
      <name val="Courier"/>
      <family val="3"/>
    </font>
    <font>
      <u val="single"/>
      <sz val="12"/>
      <color indexed="36"/>
      <name val="Courier"/>
      <family val="3"/>
    </font>
    <font>
      <sz val="8"/>
      <name val="Times New Roman"/>
      <family val="1"/>
    </font>
    <font>
      <b/>
      <u val="single"/>
      <sz val="12"/>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8"/>
      <color indexed="10"/>
      <name val="Times New Roman"/>
      <family val="1"/>
    </font>
    <font>
      <b/>
      <sz val="14"/>
      <name val="Times New Roman"/>
      <family val="1"/>
    </font>
    <font>
      <b/>
      <sz val="16"/>
      <name val="Times New Roman"/>
      <family val="1"/>
    </font>
    <font>
      <i/>
      <sz val="11"/>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u val="single"/>
      <sz val="14"/>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4"/>
      <color rgb="FFFF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41"/>
        <bgColor indexed="64"/>
      </patternFill>
    </fill>
    <fill>
      <patternFill patternType="solid">
        <fgColor indexed="35"/>
        <bgColor indexed="64"/>
      </patternFill>
    </fill>
    <fill>
      <patternFill patternType="solid">
        <fgColor indexed="10"/>
        <bgColor indexed="64"/>
      </patternFill>
    </fill>
    <fill>
      <patternFill patternType="solid">
        <fgColor indexed="15"/>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style="double"/>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double"/>
    </border>
    <border>
      <left>
        <color indexed="63"/>
      </left>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2"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1"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515">
    <xf numFmtId="0" fontId="0" fillId="0" borderId="0" xfId="0" applyAlignment="1">
      <alignment/>
    </xf>
    <xf numFmtId="0" fontId="4" fillId="0" borderId="0" xfId="0" applyFont="1" applyAlignment="1">
      <alignment horizontal="center"/>
    </xf>
    <xf numFmtId="0" fontId="5" fillId="0" borderId="0" xfId="0" applyFont="1" applyAlignment="1">
      <alignment/>
    </xf>
    <xf numFmtId="0" fontId="5" fillId="0" borderId="0" xfId="0" applyFont="1" applyAlignment="1" applyProtection="1">
      <alignment horizontal="left" wrapText="1"/>
      <protection/>
    </xf>
    <xf numFmtId="0" fontId="5" fillId="0" borderId="0" xfId="0" applyFont="1" applyAlignment="1">
      <alignment horizontal="left"/>
    </xf>
    <xf numFmtId="0" fontId="5" fillId="0" borderId="0" xfId="0" applyFont="1" applyAlignment="1">
      <alignment wrapText="1"/>
    </xf>
    <xf numFmtId="0" fontId="5" fillId="0" borderId="0" xfId="0" applyFont="1" applyAlignment="1" applyProtection="1">
      <alignment wrapText="1"/>
      <protection/>
    </xf>
    <xf numFmtId="0" fontId="5" fillId="0" borderId="0" xfId="0" applyFont="1" applyAlignment="1" applyProtection="1">
      <alignment/>
      <protection locked="0"/>
    </xf>
    <xf numFmtId="0" fontId="5" fillId="33" borderId="10" xfId="0" applyFont="1" applyFill="1" applyBorder="1" applyAlignment="1" applyProtection="1">
      <alignment/>
      <protection locked="0"/>
    </xf>
    <xf numFmtId="3" fontId="5" fillId="33" borderId="10" xfId="0" applyNumberFormat="1" applyFont="1" applyFill="1" applyBorder="1" applyAlignment="1" applyProtection="1">
      <alignment/>
      <protection locked="0"/>
    </xf>
    <xf numFmtId="164" fontId="5" fillId="33" borderId="10" xfId="0" applyNumberFormat="1" applyFont="1" applyFill="1" applyBorder="1" applyAlignment="1" applyProtection="1">
      <alignment/>
      <protection locked="0"/>
    </xf>
    <xf numFmtId="37" fontId="5" fillId="0" borderId="0" xfId="0" applyNumberFormat="1" applyFont="1" applyAlignment="1" applyProtection="1">
      <alignment/>
      <protection locked="0"/>
    </xf>
    <xf numFmtId="0" fontId="5" fillId="0" borderId="0" xfId="0" applyFont="1" applyAlignment="1">
      <alignment horizontal="centerContinuous"/>
    </xf>
    <xf numFmtId="37" fontId="5" fillId="33" borderId="10" xfId="0" applyNumberFormat="1" applyFont="1" applyFill="1" applyBorder="1" applyAlignment="1" applyProtection="1">
      <alignment/>
      <protection locked="0"/>
    </xf>
    <xf numFmtId="0" fontId="5" fillId="33" borderId="10" xfId="0" applyFont="1" applyFill="1" applyBorder="1" applyAlignment="1" applyProtection="1">
      <alignment horizontal="left"/>
      <protection locked="0"/>
    </xf>
    <xf numFmtId="3" fontId="5" fillId="0" borderId="0" xfId="0" applyNumberFormat="1" applyFont="1" applyAlignment="1" applyProtection="1">
      <alignment horizontal="fill"/>
      <protection locked="0"/>
    </xf>
    <xf numFmtId="0" fontId="5" fillId="33" borderId="0" xfId="0" applyFont="1" applyFill="1" applyAlignment="1" applyProtection="1">
      <alignment/>
      <protection locked="0"/>
    </xf>
    <xf numFmtId="3" fontId="5" fillId="33" borderId="10" xfId="0" applyNumberFormat="1" applyFont="1" applyFill="1" applyBorder="1" applyAlignment="1" applyProtection="1">
      <alignment/>
      <protection locked="0"/>
    </xf>
    <xf numFmtId="37" fontId="5" fillId="33" borderId="10" xfId="0" applyNumberFormat="1" applyFont="1" applyFill="1" applyBorder="1" applyAlignment="1" applyProtection="1">
      <alignment/>
      <protection locked="0"/>
    </xf>
    <xf numFmtId="0" fontId="7" fillId="0" borderId="0" xfId="0" applyFont="1" applyAlignment="1">
      <alignment/>
    </xf>
    <xf numFmtId="0" fontId="5" fillId="34" borderId="11" xfId="0" applyFont="1" applyFill="1" applyBorder="1" applyAlignment="1" applyProtection="1">
      <alignment/>
      <protection/>
    </xf>
    <xf numFmtId="0" fontId="5" fillId="34" borderId="0" xfId="0" applyFont="1" applyFill="1" applyAlignment="1" applyProtection="1">
      <alignment/>
      <protection/>
    </xf>
    <xf numFmtId="37" fontId="4" fillId="34" borderId="0" xfId="0" applyNumberFormat="1" applyFont="1" applyFill="1" applyAlignment="1" applyProtection="1">
      <alignment horizontal="left"/>
      <protection/>
    </xf>
    <xf numFmtId="0" fontId="5" fillId="34" borderId="0" xfId="0" applyFont="1" applyFill="1" applyAlignment="1" applyProtection="1">
      <alignment horizontal="right"/>
      <protection/>
    </xf>
    <xf numFmtId="37" fontId="5" fillId="34" borderId="0" xfId="0" applyNumberFormat="1" applyFont="1" applyFill="1" applyAlignment="1" applyProtection="1">
      <alignment horizontal="right"/>
      <protection/>
    </xf>
    <xf numFmtId="37" fontId="5" fillId="34" borderId="0" xfId="0" applyNumberFormat="1" applyFont="1" applyFill="1" applyAlignment="1" applyProtection="1">
      <alignment horizontal="left"/>
      <protection/>
    </xf>
    <xf numFmtId="37" fontId="5" fillId="34" borderId="0" xfId="0" applyNumberFormat="1" applyFont="1" applyFill="1" applyAlignment="1" applyProtection="1">
      <alignment horizontal="centerContinuous"/>
      <protection/>
    </xf>
    <xf numFmtId="0" fontId="5" fillId="34" borderId="0" xfId="0" applyFont="1" applyFill="1" applyAlignment="1" applyProtection="1">
      <alignment horizontal="centerContinuous"/>
      <protection/>
    </xf>
    <xf numFmtId="37" fontId="5" fillId="34" borderId="12" xfId="0" applyNumberFormat="1" applyFont="1" applyFill="1" applyBorder="1" applyAlignment="1" applyProtection="1">
      <alignment horizontal="centerContinuous"/>
      <protection/>
    </xf>
    <xf numFmtId="0" fontId="5" fillId="34" borderId="13" xfId="0" applyFont="1" applyFill="1" applyBorder="1" applyAlignment="1" applyProtection="1">
      <alignment horizontal="centerContinuous"/>
      <protection/>
    </xf>
    <xf numFmtId="0" fontId="5" fillId="34" borderId="14" xfId="0" applyFont="1" applyFill="1" applyBorder="1" applyAlignment="1" applyProtection="1">
      <alignment horizontal="centerContinuous"/>
      <protection/>
    </xf>
    <xf numFmtId="37" fontId="5" fillId="34" borderId="11" xfId="0" applyNumberFormat="1" applyFont="1" applyFill="1" applyBorder="1" applyAlignment="1" applyProtection="1">
      <alignment horizontal="fill"/>
      <protection/>
    </xf>
    <xf numFmtId="37" fontId="5" fillId="34" borderId="15" xfId="0" applyNumberFormat="1" applyFont="1" applyFill="1" applyBorder="1" applyAlignment="1" applyProtection="1">
      <alignment horizontal="left"/>
      <protection/>
    </xf>
    <xf numFmtId="37" fontId="5" fillId="34" borderId="15" xfId="0" applyNumberFormat="1" applyFont="1" applyFill="1" applyBorder="1" applyAlignment="1" applyProtection="1">
      <alignment horizontal="center"/>
      <protection/>
    </xf>
    <xf numFmtId="37" fontId="5" fillId="34" borderId="16" xfId="0" applyNumberFormat="1" applyFont="1" applyFill="1" applyBorder="1" applyAlignment="1" applyProtection="1">
      <alignment horizontal="center"/>
      <protection/>
    </xf>
    <xf numFmtId="37" fontId="4" fillId="34" borderId="11" xfId="0" applyNumberFormat="1" applyFont="1" applyFill="1" applyBorder="1" applyAlignment="1" applyProtection="1">
      <alignment horizontal="left"/>
      <protection/>
    </xf>
    <xf numFmtId="37" fontId="5" fillId="34" borderId="17" xfId="0" applyNumberFormat="1" applyFont="1" applyFill="1" applyBorder="1" applyAlignment="1" applyProtection="1">
      <alignment horizontal="center"/>
      <protection/>
    </xf>
    <xf numFmtId="37" fontId="5" fillId="34" borderId="12" xfId="0" applyNumberFormat="1" applyFont="1" applyFill="1" applyBorder="1" applyAlignment="1" applyProtection="1">
      <alignment horizontal="left"/>
      <protection/>
    </xf>
    <xf numFmtId="0" fontId="5" fillId="34" borderId="14" xfId="0" applyFont="1" applyFill="1" applyBorder="1" applyAlignment="1" applyProtection="1">
      <alignment/>
      <protection/>
    </xf>
    <xf numFmtId="0" fontId="5" fillId="34" borderId="15" xfId="0" applyFont="1" applyFill="1" applyBorder="1" applyAlignment="1" applyProtection="1">
      <alignment/>
      <protection/>
    </xf>
    <xf numFmtId="37" fontId="5" fillId="34" borderId="10" xfId="0" applyNumberFormat="1" applyFont="1" applyFill="1" applyBorder="1" applyAlignment="1" applyProtection="1">
      <alignment/>
      <protection/>
    </xf>
    <xf numFmtId="0" fontId="5" fillId="34" borderId="16" xfId="0" applyFont="1" applyFill="1" applyBorder="1" applyAlignment="1" applyProtection="1">
      <alignment/>
      <protection/>
    </xf>
    <xf numFmtId="0" fontId="5" fillId="34" borderId="10" xfId="0" applyFont="1" applyFill="1" applyBorder="1" applyAlignment="1" applyProtection="1">
      <alignment/>
      <protection/>
    </xf>
    <xf numFmtId="0" fontId="5" fillId="34" borderId="17" xfId="0" applyFont="1" applyFill="1" applyBorder="1" applyAlignment="1" applyProtection="1">
      <alignment/>
      <protection/>
    </xf>
    <xf numFmtId="37" fontId="5" fillId="34" borderId="10" xfId="0" applyNumberFormat="1" applyFont="1" applyFill="1" applyBorder="1" applyAlignment="1" applyProtection="1">
      <alignment horizontal="left"/>
      <protection/>
    </xf>
    <xf numFmtId="37" fontId="5" fillId="34" borderId="10" xfId="0" applyNumberFormat="1" applyFont="1" applyFill="1" applyBorder="1" applyAlignment="1" applyProtection="1">
      <alignment horizontal="fill"/>
      <protection/>
    </xf>
    <xf numFmtId="0" fontId="5" fillId="34" borderId="18" xfId="0" applyFont="1" applyFill="1" applyBorder="1" applyAlignment="1" applyProtection="1">
      <alignment/>
      <protection/>
    </xf>
    <xf numFmtId="37" fontId="5" fillId="34" borderId="16" xfId="0" applyNumberFormat="1" applyFont="1" applyFill="1" applyBorder="1" applyAlignment="1" applyProtection="1">
      <alignment horizontal="left"/>
      <protection/>
    </xf>
    <xf numFmtId="37" fontId="5" fillId="34" borderId="17" xfId="0" applyNumberFormat="1" applyFont="1" applyFill="1" applyBorder="1" applyAlignment="1" applyProtection="1">
      <alignment horizontal="left"/>
      <protection/>
    </xf>
    <xf numFmtId="37" fontId="5" fillId="34" borderId="0" xfId="0" applyNumberFormat="1" applyFont="1" applyFill="1" applyAlignment="1" applyProtection="1">
      <alignment horizontal="center"/>
      <protection/>
    </xf>
    <xf numFmtId="0" fontId="5" fillId="34" borderId="0" xfId="0" applyFont="1" applyFill="1" applyAlignment="1">
      <alignment/>
    </xf>
    <xf numFmtId="37" fontId="5" fillId="34" borderId="0" xfId="0" applyNumberFormat="1" applyFont="1" applyFill="1" applyAlignment="1">
      <alignment/>
    </xf>
    <xf numFmtId="0" fontId="4" fillId="34" borderId="0" xfId="0" applyFont="1" applyFill="1" applyAlignment="1">
      <alignment horizontal="center"/>
    </xf>
    <xf numFmtId="0" fontId="4" fillId="34" borderId="0" xfId="0" applyFont="1" applyFill="1" applyAlignment="1">
      <alignment horizontal="center" wrapText="1"/>
    </xf>
    <xf numFmtId="0" fontId="5" fillId="34" borderId="0" xfId="0" applyFont="1" applyFill="1" applyAlignment="1" quotePrefix="1">
      <alignment horizontal="right"/>
    </xf>
    <xf numFmtId="3" fontId="5" fillId="34" borderId="0" xfId="0" applyNumberFormat="1" applyFont="1" applyFill="1" applyAlignment="1">
      <alignment/>
    </xf>
    <xf numFmtId="3" fontId="5" fillId="34" borderId="0" xfId="0" applyNumberFormat="1" applyFont="1" applyFill="1" applyAlignment="1" quotePrefix="1">
      <alignment/>
    </xf>
    <xf numFmtId="3" fontId="5" fillId="34" borderId="11" xfId="0" applyNumberFormat="1" applyFont="1" applyFill="1" applyBorder="1" applyAlignment="1">
      <alignment/>
    </xf>
    <xf numFmtId="0" fontId="4" fillId="34" borderId="0" xfId="0" applyFont="1" applyFill="1" applyAlignment="1">
      <alignment/>
    </xf>
    <xf numFmtId="3" fontId="5" fillId="34" borderId="13" xfId="0" applyNumberFormat="1" applyFont="1" applyFill="1" applyBorder="1" applyAlignment="1">
      <alignment/>
    </xf>
    <xf numFmtId="3" fontId="5" fillId="34" borderId="11" xfId="0" applyNumberFormat="1" applyFont="1" applyFill="1" applyBorder="1" applyAlignment="1" applyProtection="1">
      <alignment/>
      <protection/>
    </xf>
    <xf numFmtId="3" fontId="5" fillId="34" borderId="0" xfId="0" applyNumberFormat="1" applyFont="1" applyFill="1" applyBorder="1" applyAlignment="1">
      <alignment/>
    </xf>
    <xf numFmtId="0" fontId="5" fillId="34" borderId="0" xfId="0" applyFont="1" applyFill="1" applyAlignment="1" quotePrefix="1">
      <alignment/>
    </xf>
    <xf numFmtId="0" fontId="5" fillId="34" borderId="0" xfId="0" applyFont="1" applyFill="1" applyAlignment="1">
      <alignment horizontal="right"/>
    </xf>
    <xf numFmtId="3" fontId="5" fillId="34" borderId="13" xfId="0" applyNumberFormat="1" applyFont="1" applyFill="1" applyBorder="1" applyAlignment="1" applyProtection="1">
      <alignment/>
      <protection/>
    </xf>
    <xf numFmtId="3" fontId="5" fillId="34" borderId="0" xfId="0" applyNumberFormat="1" applyFont="1" applyFill="1" applyAlignment="1" applyProtection="1">
      <alignment/>
      <protection/>
    </xf>
    <xf numFmtId="3" fontId="5" fillId="34" borderId="19" xfId="0" applyNumberFormat="1" applyFont="1" applyFill="1" applyBorder="1" applyAlignment="1">
      <alignment/>
    </xf>
    <xf numFmtId="0" fontId="5" fillId="34" borderId="19" xfId="0" applyFont="1" applyFill="1" applyBorder="1" applyAlignment="1">
      <alignment/>
    </xf>
    <xf numFmtId="0" fontId="5" fillId="34" borderId="0" xfId="0" applyFont="1" applyFill="1" applyBorder="1" applyAlignment="1">
      <alignment/>
    </xf>
    <xf numFmtId="171" fontId="5" fillId="34" borderId="11" xfId="0" applyNumberFormat="1" applyFont="1" applyFill="1" applyBorder="1" applyAlignment="1">
      <alignment/>
    </xf>
    <xf numFmtId="0" fontId="5" fillId="34" borderId="0" xfId="0" applyFont="1" applyFill="1" applyBorder="1" applyAlignment="1" quotePrefix="1">
      <alignment/>
    </xf>
    <xf numFmtId="3" fontId="5" fillId="34" borderId="20" xfId="0" applyNumberFormat="1" applyFont="1" applyFill="1" applyBorder="1" applyAlignment="1">
      <alignment/>
    </xf>
    <xf numFmtId="37" fontId="5" fillId="34" borderId="0" xfId="0" applyNumberFormat="1" applyFont="1" applyFill="1" applyAlignment="1" applyProtection="1">
      <alignment/>
      <protection/>
    </xf>
    <xf numFmtId="37" fontId="5" fillId="34" borderId="21" xfId="0" applyNumberFormat="1" applyFont="1" applyFill="1" applyBorder="1" applyAlignment="1" applyProtection="1">
      <alignment/>
      <protection/>
    </xf>
    <xf numFmtId="37" fontId="5" fillId="34" borderId="11" xfId="0" applyNumberFormat="1" applyFont="1" applyFill="1" applyBorder="1" applyAlignment="1" applyProtection="1">
      <alignment/>
      <protection/>
    </xf>
    <xf numFmtId="0" fontId="4" fillId="34" borderId="0" xfId="58" applyFont="1" applyFill="1" applyAlignment="1" applyProtection="1">
      <alignment horizontal="centerContinuous"/>
      <protection/>
    </xf>
    <xf numFmtId="0" fontId="5" fillId="34" borderId="15" xfId="0" applyFont="1" applyFill="1" applyBorder="1" applyAlignment="1" applyProtection="1">
      <alignment horizontal="center"/>
      <protection/>
    </xf>
    <xf numFmtId="0" fontId="5" fillId="34" borderId="22" xfId="0" applyFont="1" applyFill="1" applyBorder="1" applyAlignment="1" applyProtection="1">
      <alignment horizontal="centerContinuous"/>
      <protection/>
    </xf>
    <xf numFmtId="0" fontId="5" fillId="34" borderId="23" xfId="0" applyFont="1" applyFill="1" applyBorder="1" applyAlignment="1" applyProtection="1">
      <alignment horizontal="centerContinuous"/>
      <protection/>
    </xf>
    <xf numFmtId="0" fontId="5" fillId="34" borderId="16" xfId="0" applyFont="1" applyFill="1" applyBorder="1" applyAlignment="1" applyProtection="1">
      <alignment horizontal="center"/>
      <protection/>
    </xf>
    <xf numFmtId="0" fontId="5" fillId="34" borderId="17" xfId="0" applyFont="1" applyFill="1" applyBorder="1" applyAlignment="1" applyProtection="1">
      <alignment horizontal="center"/>
      <protection/>
    </xf>
    <xf numFmtId="14" fontId="5" fillId="34" borderId="17" xfId="0" applyNumberFormat="1" applyFont="1" applyFill="1" applyBorder="1" applyAlignment="1" applyProtection="1" quotePrefix="1">
      <alignment horizontal="center"/>
      <protection/>
    </xf>
    <xf numFmtId="0" fontId="5" fillId="34" borderId="10" xfId="0" applyFont="1" applyFill="1" applyBorder="1" applyAlignment="1" applyProtection="1">
      <alignment horizontal="center"/>
      <protection/>
    </xf>
    <xf numFmtId="0" fontId="5" fillId="34" borderId="10" xfId="0" applyFont="1" applyFill="1" applyBorder="1" applyAlignment="1" applyProtection="1">
      <alignment horizontal="left"/>
      <protection/>
    </xf>
    <xf numFmtId="2" fontId="5" fillId="34" borderId="10" xfId="0" applyNumberFormat="1" applyFont="1" applyFill="1" applyBorder="1" applyAlignment="1" applyProtection="1">
      <alignment/>
      <protection/>
    </xf>
    <xf numFmtId="3" fontId="5" fillId="34" borderId="10" xfId="0" applyNumberFormat="1" applyFont="1" applyFill="1" applyBorder="1" applyAlignment="1" applyProtection="1">
      <alignment/>
      <protection/>
    </xf>
    <xf numFmtId="0" fontId="4" fillId="34" borderId="10" xfId="0" applyFont="1" applyFill="1" applyBorder="1" applyAlignment="1" applyProtection="1">
      <alignment horizontal="left"/>
      <protection/>
    </xf>
    <xf numFmtId="0" fontId="5" fillId="34" borderId="11" xfId="0" applyFont="1" applyFill="1" applyBorder="1" applyAlignment="1" applyProtection="1">
      <alignment horizontal="fill"/>
      <protection/>
    </xf>
    <xf numFmtId="0" fontId="5" fillId="34" borderId="11" xfId="0" applyFont="1" applyFill="1" applyBorder="1" applyAlignment="1" applyProtection="1">
      <alignment horizontal="left"/>
      <protection/>
    </xf>
    <xf numFmtId="0" fontId="4" fillId="34" borderId="0" xfId="0" applyFont="1" applyFill="1" applyAlignment="1" applyProtection="1">
      <alignment horizontal="left"/>
      <protection/>
    </xf>
    <xf numFmtId="0" fontId="4" fillId="34" borderId="0" xfId="0" applyFont="1" applyFill="1" applyAlignment="1" applyProtection="1">
      <alignment/>
      <protection/>
    </xf>
    <xf numFmtId="0" fontId="5" fillId="34" borderId="0" xfId="0" applyFont="1" applyFill="1" applyBorder="1" applyAlignment="1" applyProtection="1">
      <alignment horizontal="fill"/>
      <protection/>
    </xf>
    <xf numFmtId="0" fontId="5" fillId="34" borderId="0" xfId="0" applyFont="1" applyFill="1" applyAlignment="1" applyProtection="1">
      <alignment horizontal="left"/>
      <protection/>
    </xf>
    <xf numFmtId="1" fontId="5" fillId="34" borderId="15" xfId="0" applyNumberFormat="1" applyFont="1" applyFill="1" applyBorder="1" applyAlignment="1" applyProtection="1">
      <alignment horizontal="center"/>
      <protection/>
    </xf>
    <xf numFmtId="166" fontId="5" fillId="34" borderId="0" xfId="0" applyNumberFormat="1" applyFont="1" applyFill="1" applyAlignment="1" applyProtection="1">
      <alignment/>
      <protection/>
    </xf>
    <xf numFmtId="1" fontId="5" fillId="34" borderId="0" xfId="0" applyNumberFormat="1" applyFont="1" applyFill="1" applyAlignment="1" applyProtection="1">
      <alignment horizontal="right"/>
      <protection/>
    </xf>
    <xf numFmtId="37" fontId="5" fillId="34" borderId="0" xfId="0" applyNumberFormat="1" applyFont="1" applyFill="1" applyBorder="1" applyAlignment="1" applyProtection="1">
      <alignment horizontal="fill"/>
      <protection/>
    </xf>
    <xf numFmtId="3" fontId="5" fillId="34" borderId="10" xfId="0" applyNumberFormat="1" applyFont="1" applyFill="1" applyBorder="1" applyAlignment="1" applyProtection="1">
      <alignment horizontal="fill"/>
      <protection/>
    </xf>
    <xf numFmtId="0" fontId="5" fillId="34" borderId="0" xfId="0" applyFont="1" applyFill="1" applyAlignment="1" applyProtection="1">
      <alignment horizontal="fill"/>
      <protection/>
    </xf>
    <xf numFmtId="37" fontId="5" fillId="33" borderId="0" xfId="0" applyNumberFormat="1" applyFont="1" applyFill="1" applyAlignment="1" applyProtection="1">
      <alignment horizontal="left"/>
      <protection locked="0"/>
    </xf>
    <xf numFmtId="0" fontId="5" fillId="33" borderId="0" xfId="0" applyFont="1" applyFill="1" applyAlignment="1" applyProtection="1">
      <alignment horizontal="left"/>
      <protection locked="0"/>
    </xf>
    <xf numFmtId="0" fontId="5" fillId="33" borderId="10" xfId="0" applyFont="1" applyFill="1" applyBorder="1" applyAlignment="1" applyProtection="1">
      <alignment horizontal="left"/>
      <protection locked="0"/>
    </xf>
    <xf numFmtId="3" fontId="5" fillId="34" borderId="11" xfId="0" applyNumberFormat="1" applyFont="1" applyFill="1" applyBorder="1" applyAlignment="1" applyProtection="1">
      <alignment horizontal="fill"/>
      <protection/>
    </xf>
    <xf numFmtId="37" fontId="4" fillId="34" borderId="0" xfId="0" applyNumberFormat="1" applyFont="1" applyFill="1" applyAlignment="1" applyProtection="1">
      <alignment horizontal="centerContinuous"/>
      <protection/>
    </xf>
    <xf numFmtId="1" fontId="5" fillId="34" borderId="12" xfId="0" applyNumberFormat="1" applyFont="1" applyFill="1" applyBorder="1" applyAlignment="1" applyProtection="1">
      <alignment horizontal="centerContinuous"/>
      <protection/>
    </xf>
    <xf numFmtId="164" fontId="5" fillId="34" borderId="10" xfId="0" applyNumberFormat="1" applyFont="1" applyFill="1" applyBorder="1" applyAlignment="1" applyProtection="1">
      <alignment/>
      <protection/>
    </xf>
    <xf numFmtId="0" fontId="5" fillId="34" borderId="0" xfId="0" applyFont="1" applyFill="1" applyBorder="1" applyAlignment="1" applyProtection="1">
      <alignment/>
      <protection/>
    </xf>
    <xf numFmtId="1" fontId="6" fillId="34" borderId="0" xfId="0" applyNumberFormat="1" applyFont="1" applyFill="1" applyAlignment="1" applyProtection="1">
      <alignment horizontal="center"/>
      <protection/>
    </xf>
    <xf numFmtId="0" fontId="5" fillId="33" borderId="0" xfId="0" applyFont="1" applyFill="1" applyAlignment="1">
      <alignment/>
    </xf>
    <xf numFmtId="0" fontId="5" fillId="34" borderId="0" xfId="0" applyFont="1" applyFill="1" applyAlignment="1">
      <alignment wrapText="1"/>
    </xf>
    <xf numFmtId="37" fontId="4" fillId="34" borderId="0" xfId="0" applyNumberFormat="1" applyFont="1" applyFill="1" applyAlignment="1" applyProtection="1">
      <alignment horizontal="centerContinuous" vertical="justify"/>
      <protection/>
    </xf>
    <xf numFmtId="37" fontId="5" fillId="34" borderId="11" xfId="0" applyNumberFormat="1" applyFont="1" applyFill="1" applyBorder="1" applyAlignment="1" applyProtection="1">
      <alignment horizontal="left"/>
      <protection/>
    </xf>
    <xf numFmtId="37" fontId="5" fillId="34" borderId="13" xfId="0" applyNumberFormat="1" applyFont="1" applyFill="1" applyBorder="1" applyAlignment="1" applyProtection="1">
      <alignment horizontal="left"/>
      <protection/>
    </xf>
    <xf numFmtId="37" fontId="4" fillId="34" borderId="13" xfId="0" applyNumberFormat="1" applyFont="1" applyFill="1" applyBorder="1" applyAlignment="1" applyProtection="1">
      <alignment horizontal="left"/>
      <protection/>
    </xf>
    <xf numFmtId="0" fontId="0" fillId="34" borderId="0" xfId="0" applyFill="1" applyAlignment="1" applyProtection="1">
      <alignment/>
      <protection/>
    </xf>
    <xf numFmtId="0" fontId="5" fillId="34" borderId="13" xfId="0" applyFont="1" applyFill="1" applyBorder="1" applyAlignment="1" applyProtection="1">
      <alignment/>
      <protection/>
    </xf>
    <xf numFmtId="0" fontId="5" fillId="34" borderId="0" xfId="0" applyFont="1" applyFill="1" applyAlignment="1" applyProtection="1">
      <alignment horizontal="centerContinuous" vertical="justify"/>
      <protection/>
    </xf>
    <xf numFmtId="0" fontId="5" fillId="34" borderId="24" xfId="0" applyFont="1" applyFill="1" applyBorder="1" applyAlignment="1" applyProtection="1">
      <alignment/>
      <protection/>
    </xf>
    <xf numFmtId="3" fontId="5" fillId="34" borderId="24" xfId="0" applyNumberFormat="1" applyFont="1" applyFill="1" applyBorder="1" applyAlignment="1" applyProtection="1">
      <alignment/>
      <protection/>
    </xf>
    <xf numFmtId="3" fontId="5" fillId="34" borderId="14" xfId="0" applyNumberFormat="1" applyFont="1" applyFill="1" applyBorder="1" applyAlignment="1" applyProtection="1">
      <alignment/>
      <protection/>
    </xf>
    <xf numFmtId="37" fontId="5" fillId="34" borderId="17" xfId="0" applyNumberFormat="1" applyFont="1" applyFill="1" applyBorder="1" applyAlignment="1" applyProtection="1">
      <alignment/>
      <protection/>
    </xf>
    <xf numFmtId="37" fontId="5" fillId="34" borderId="17" xfId="0" applyNumberFormat="1" applyFont="1" applyFill="1" applyBorder="1" applyAlignment="1" applyProtection="1">
      <alignment horizontal="fill"/>
      <protection/>
    </xf>
    <xf numFmtId="0" fontId="5" fillId="33" borderId="10" xfId="0" applyFont="1" applyFill="1" applyBorder="1" applyAlignment="1" applyProtection="1">
      <alignment/>
      <protection locked="0"/>
    </xf>
    <xf numFmtId="37" fontId="4" fillId="35" borderId="0" xfId="0" applyNumberFormat="1" applyFont="1" applyFill="1" applyAlignment="1" applyProtection="1">
      <alignment horizontal="left"/>
      <protection/>
    </xf>
    <xf numFmtId="0" fontId="5" fillId="35" borderId="0" xfId="0" applyFont="1" applyFill="1" applyAlignment="1" applyProtection="1">
      <alignment/>
      <protection/>
    </xf>
    <xf numFmtId="37" fontId="4" fillId="36" borderId="0" xfId="0" applyNumberFormat="1" applyFont="1" applyFill="1" applyAlignment="1" applyProtection="1">
      <alignment horizontal="left"/>
      <protection/>
    </xf>
    <xf numFmtId="0" fontId="5" fillId="36" borderId="0" xfId="0" applyFont="1" applyFill="1" applyAlignment="1" applyProtection="1">
      <alignment/>
      <protection/>
    </xf>
    <xf numFmtId="3" fontId="5" fillId="36" borderId="0" xfId="0" applyNumberFormat="1" applyFont="1" applyFill="1" applyAlignment="1" applyProtection="1">
      <alignment/>
      <protection/>
    </xf>
    <xf numFmtId="0" fontId="8" fillId="34" borderId="17" xfId="0" applyFont="1" applyFill="1" applyBorder="1" applyAlignment="1" applyProtection="1">
      <alignment horizontal="center"/>
      <protection/>
    </xf>
    <xf numFmtId="0" fontId="5" fillId="34" borderId="11" xfId="0" applyFont="1" applyFill="1" applyBorder="1" applyAlignment="1" applyProtection="1">
      <alignment horizontal="centerContinuous"/>
      <protection/>
    </xf>
    <xf numFmtId="37" fontId="5" fillId="34" borderId="0" xfId="0" applyNumberFormat="1" applyFont="1" applyFill="1" applyBorder="1" applyAlignment="1" applyProtection="1">
      <alignment horizontal="left"/>
      <protection/>
    </xf>
    <xf numFmtId="178" fontId="5" fillId="34" borderId="10" xfId="0" applyNumberFormat="1" applyFont="1" applyFill="1" applyBorder="1" applyAlignment="1" applyProtection="1">
      <alignment/>
      <protection/>
    </xf>
    <xf numFmtId="180" fontId="5" fillId="34" borderId="10" xfId="0" applyNumberFormat="1" applyFont="1" applyFill="1" applyBorder="1" applyAlignment="1" applyProtection="1">
      <alignment/>
      <protection/>
    </xf>
    <xf numFmtId="0" fontId="5" fillId="34" borderId="0" xfId="0" applyFont="1" applyFill="1" applyAlignment="1" applyProtection="1">
      <alignment horizontal="center"/>
      <protection/>
    </xf>
    <xf numFmtId="0" fontId="4" fillId="34" borderId="11" xfId="0" applyFont="1" applyFill="1" applyBorder="1" applyAlignment="1" applyProtection="1">
      <alignment horizontal="center"/>
      <protection/>
    </xf>
    <xf numFmtId="0" fontId="4" fillId="34" borderId="15" xfId="0" applyFont="1" applyFill="1" applyBorder="1" applyAlignment="1" applyProtection="1">
      <alignment horizontal="center"/>
      <protection/>
    </xf>
    <xf numFmtId="0" fontId="5" fillId="33" borderId="17" xfId="0" applyFont="1" applyFill="1" applyBorder="1" applyAlignment="1" applyProtection="1">
      <alignment/>
      <protection locked="0"/>
    </xf>
    <xf numFmtId="0" fontId="5" fillId="34" borderId="0" xfId="0" applyFont="1" applyFill="1" applyAlignment="1" applyProtection="1">
      <alignment/>
      <protection locked="0"/>
    </xf>
    <xf numFmtId="37" fontId="5" fillId="34" borderId="0" xfId="0" applyNumberFormat="1" applyFont="1" applyFill="1" applyBorder="1" applyAlignment="1" applyProtection="1">
      <alignment/>
      <protection/>
    </xf>
    <xf numFmtId="0" fontId="5" fillId="34" borderId="0" xfId="0" applyNumberFormat="1" applyFont="1" applyFill="1" applyAlignment="1" applyProtection="1">
      <alignment horizontal="right"/>
      <protection/>
    </xf>
    <xf numFmtId="37" fontId="5" fillId="34" borderId="10" xfId="0" applyNumberFormat="1" applyFont="1" applyFill="1" applyBorder="1" applyAlignment="1" applyProtection="1">
      <alignment horizontal="center"/>
      <protection/>
    </xf>
    <xf numFmtId="37" fontId="5" fillId="34" borderId="11" xfId="0" applyNumberFormat="1" applyFont="1" applyFill="1" applyBorder="1" applyAlignment="1" applyProtection="1">
      <alignment horizontal="fill"/>
      <protection locked="0"/>
    </xf>
    <xf numFmtId="177" fontId="5" fillId="33" borderId="12" xfId="42" applyNumberFormat="1" applyFont="1" applyFill="1" applyBorder="1" applyAlignment="1" applyProtection="1">
      <alignment/>
      <protection locked="0"/>
    </xf>
    <xf numFmtId="3" fontId="5" fillId="34" borderId="10" xfId="0" applyNumberFormat="1" applyFont="1" applyFill="1" applyBorder="1" applyAlignment="1" applyProtection="1">
      <alignment/>
      <protection locked="0"/>
    </xf>
    <xf numFmtId="1" fontId="5" fillId="34" borderId="0" xfId="0" applyNumberFormat="1" applyFont="1" applyFill="1" applyBorder="1" applyAlignment="1" applyProtection="1">
      <alignment horizontal="right"/>
      <protection/>
    </xf>
    <xf numFmtId="37" fontId="5" fillId="34" borderId="0" xfId="0" applyNumberFormat="1" applyFont="1" applyFill="1" applyAlignment="1" applyProtection="1" quotePrefix="1">
      <alignment horizontal="right"/>
      <protection/>
    </xf>
    <xf numFmtId="37" fontId="5" fillId="34" borderId="0" xfId="0" applyNumberFormat="1" applyFont="1" applyFill="1" applyAlignment="1" applyProtection="1">
      <alignment horizontal="fill"/>
      <protection/>
    </xf>
    <xf numFmtId="0" fontId="5" fillId="34" borderId="17" xfId="0" applyNumberFormat="1" applyFont="1" applyFill="1" applyBorder="1" applyAlignment="1" applyProtection="1">
      <alignment horizontal="center"/>
      <protection/>
    </xf>
    <xf numFmtId="1" fontId="5" fillId="34" borderId="17" xfId="0" applyNumberFormat="1" applyFont="1" applyFill="1" applyBorder="1" applyAlignment="1" applyProtection="1">
      <alignment horizontal="center"/>
      <protection/>
    </xf>
    <xf numFmtId="3" fontId="5" fillId="33" borderId="10" xfId="0" applyNumberFormat="1" applyFont="1" applyFill="1" applyBorder="1" applyAlignment="1" applyProtection="1">
      <alignment horizontal="right"/>
      <protection locked="0"/>
    </xf>
    <xf numFmtId="3" fontId="5" fillId="34" borderId="10" xfId="42" applyNumberFormat="1" applyFont="1" applyFill="1" applyBorder="1" applyAlignment="1" applyProtection="1">
      <alignment horizontal="right"/>
      <protection/>
    </xf>
    <xf numFmtId="3" fontId="5" fillId="34" borderId="10" xfId="0" applyNumberFormat="1" applyFont="1" applyFill="1" applyBorder="1" applyAlignment="1" applyProtection="1">
      <alignment horizontal="right"/>
      <protection/>
    </xf>
    <xf numFmtId="3" fontId="5" fillId="33" borderId="10" xfId="0" applyNumberFormat="1" applyFont="1" applyFill="1" applyBorder="1" applyAlignment="1" applyProtection="1">
      <alignment horizontal="right"/>
      <protection locked="0"/>
    </xf>
    <xf numFmtId="37" fontId="4" fillId="34" borderId="12" xfId="0" applyNumberFormat="1" applyFont="1" applyFill="1" applyBorder="1" applyAlignment="1" applyProtection="1">
      <alignment horizontal="left"/>
      <protection/>
    </xf>
    <xf numFmtId="0" fontId="5" fillId="34" borderId="0" xfId="0" applyFont="1" applyFill="1" applyAlignment="1">
      <alignment horizontal="center"/>
    </xf>
    <xf numFmtId="0" fontId="5" fillId="34" borderId="11" xfId="0" applyFont="1" applyFill="1" applyBorder="1" applyAlignment="1">
      <alignment/>
    </xf>
    <xf numFmtId="0" fontId="13" fillId="34" borderId="15" xfId="0" applyFont="1" applyFill="1" applyBorder="1" applyAlignment="1">
      <alignment/>
    </xf>
    <xf numFmtId="0" fontId="13" fillId="34" borderId="14" xfId="0" applyFont="1" applyFill="1" applyBorder="1" applyAlignment="1">
      <alignment horizontal="center"/>
    </xf>
    <xf numFmtId="0" fontId="13" fillId="34" borderId="22" xfId="0" applyFont="1" applyFill="1" applyBorder="1" applyAlignment="1">
      <alignment/>
    </xf>
    <xf numFmtId="0" fontId="13" fillId="34" borderId="10" xfId="0" applyFont="1" applyFill="1" applyBorder="1" applyAlignment="1">
      <alignment horizontal="center"/>
    </xf>
    <xf numFmtId="0" fontId="5" fillId="34" borderId="14" xfId="0" applyFont="1" applyFill="1" applyBorder="1" applyAlignment="1">
      <alignment horizontal="center"/>
    </xf>
    <xf numFmtId="0" fontId="5" fillId="34" borderId="14" xfId="0" applyFont="1" applyFill="1" applyBorder="1" applyAlignment="1">
      <alignment/>
    </xf>
    <xf numFmtId="0" fontId="5" fillId="34" borderId="10" xfId="0" applyFont="1" applyFill="1" applyBorder="1" applyAlignment="1">
      <alignment horizontal="center"/>
    </xf>
    <xf numFmtId="0" fontId="13" fillId="34" borderId="25" xfId="0" applyFont="1" applyFill="1" applyBorder="1" applyAlignment="1">
      <alignment/>
    </xf>
    <xf numFmtId="0" fontId="13" fillId="34" borderId="11" xfId="0" applyFont="1" applyFill="1" applyBorder="1" applyAlignment="1">
      <alignment/>
    </xf>
    <xf numFmtId="0" fontId="13" fillId="34" borderId="0" xfId="0" applyFont="1" applyFill="1" applyAlignment="1">
      <alignment/>
    </xf>
    <xf numFmtId="3" fontId="13" fillId="34" borderId="0" xfId="0" applyNumberFormat="1" applyFont="1" applyFill="1" applyAlignment="1">
      <alignment horizontal="center"/>
    </xf>
    <xf numFmtId="0" fontId="13" fillId="34" borderId="0" xfId="0" applyFont="1" applyFill="1" applyAlignment="1">
      <alignment horizontal="center"/>
    </xf>
    <xf numFmtId="3" fontId="5" fillId="0" borderId="0" xfId="0" applyNumberFormat="1" applyFont="1" applyAlignment="1">
      <alignment/>
    </xf>
    <xf numFmtId="37" fontId="0" fillId="34" borderId="0" xfId="0" applyNumberFormat="1" applyFill="1" applyAlignment="1">
      <alignment/>
    </xf>
    <xf numFmtId="0" fontId="0" fillId="34" borderId="0" xfId="0" applyFill="1" applyAlignment="1">
      <alignment/>
    </xf>
    <xf numFmtId="3" fontId="5" fillId="34" borderId="0" xfId="0" applyNumberFormat="1" applyFont="1" applyFill="1" applyBorder="1" applyAlignment="1" applyProtection="1">
      <alignment/>
      <protection locked="0"/>
    </xf>
    <xf numFmtId="0" fontId="14" fillId="34" borderId="0" xfId="0" applyFont="1" applyFill="1" applyBorder="1" applyAlignment="1" applyProtection="1">
      <alignment horizontal="center"/>
      <protection/>
    </xf>
    <xf numFmtId="0" fontId="0" fillId="34" borderId="0" xfId="0" applyFill="1" applyBorder="1" applyAlignment="1" applyProtection="1">
      <alignment/>
      <protection/>
    </xf>
    <xf numFmtId="0" fontId="0" fillId="34" borderId="11" xfId="0" applyFill="1" applyBorder="1" applyAlignment="1" applyProtection="1">
      <alignment/>
      <protection/>
    </xf>
    <xf numFmtId="0" fontId="4" fillId="36" borderId="0" xfId="0" applyFont="1" applyFill="1" applyAlignment="1">
      <alignment/>
    </xf>
    <xf numFmtId="0" fontId="1" fillId="36" borderId="0" xfId="0" applyFont="1" applyFill="1" applyAlignment="1">
      <alignment/>
    </xf>
    <xf numFmtId="0" fontId="0" fillId="36" borderId="0" xfId="0" applyFill="1" applyAlignment="1" applyProtection="1">
      <alignment/>
      <protection locked="0"/>
    </xf>
    <xf numFmtId="0" fontId="0" fillId="34" borderId="11" xfId="0" applyFill="1" applyBorder="1" applyAlignment="1">
      <alignment/>
    </xf>
    <xf numFmtId="0" fontId="0" fillId="34" borderId="24" xfId="0" applyFill="1" applyBorder="1" applyAlignment="1">
      <alignment/>
    </xf>
    <xf numFmtId="0" fontId="5" fillId="34" borderId="13" xfId="0" applyFont="1"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7" borderId="0" xfId="0" applyFill="1" applyAlignment="1">
      <alignment/>
    </xf>
    <xf numFmtId="37" fontId="5" fillId="34" borderId="0" xfId="0" applyNumberFormat="1" applyFont="1" applyFill="1" applyBorder="1" applyAlignment="1" applyProtection="1">
      <alignment horizontal="left"/>
      <protection locked="0"/>
    </xf>
    <xf numFmtId="0" fontId="4" fillId="36" borderId="0" xfId="0" applyFont="1" applyFill="1" applyAlignment="1" applyProtection="1">
      <alignment/>
      <protection/>
    </xf>
    <xf numFmtId="0" fontId="6" fillId="34" borderId="0" xfId="0" applyFont="1" applyFill="1" applyAlignment="1" applyProtection="1">
      <alignment horizontal="center"/>
      <protection/>
    </xf>
    <xf numFmtId="0" fontId="5" fillId="34" borderId="11" xfId="0" applyFont="1" applyFill="1" applyBorder="1" applyAlignment="1" applyProtection="1">
      <alignment horizontal="center"/>
      <protection/>
    </xf>
    <xf numFmtId="0" fontId="5" fillId="34" borderId="11" xfId="0" applyFont="1" applyFill="1" applyBorder="1" applyAlignment="1" applyProtection="1">
      <alignment horizontal="center"/>
      <protection locked="0"/>
    </xf>
    <xf numFmtId="0" fontId="5" fillId="34" borderId="24" xfId="0" applyFont="1" applyFill="1" applyBorder="1" applyAlignment="1" applyProtection="1">
      <alignment/>
      <protection locked="0"/>
    </xf>
    <xf numFmtId="0" fontId="5" fillId="34" borderId="14" xfId="0" applyFont="1" applyFill="1" applyBorder="1" applyAlignment="1" applyProtection="1">
      <alignment/>
      <protection locked="0"/>
    </xf>
    <xf numFmtId="164" fontId="5" fillId="34" borderId="10" xfId="0" applyNumberFormat="1" applyFont="1" applyFill="1" applyBorder="1" applyAlignment="1" applyProtection="1">
      <alignment/>
      <protection locked="0"/>
    </xf>
    <xf numFmtId="0" fontId="5" fillId="34" borderId="17" xfId="0" applyFont="1" applyFill="1" applyBorder="1" applyAlignment="1">
      <alignment horizontal="center"/>
    </xf>
    <xf numFmtId="3" fontId="5" fillId="34" borderId="11" xfId="0" applyNumberFormat="1" applyFont="1" applyFill="1" applyBorder="1" applyAlignment="1" applyProtection="1">
      <alignment horizontal="center"/>
      <protection/>
    </xf>
    <xf numFmtId="3" fontId="5" fillId="34" borderId="13" xfId="0" applyNumberFormat="1" applyFont="1" applyFill="1" applyBorder="1" applyAlignment="1" applyProtection="1">
      <alignment horizontal="center"/>
      <protection/>
    </xf>
    <xf numFmtId="3" fontId="5" fillId="34" borderId="26" xfId="0" applyNumberFormat="1" applyFont="1" applyFill="1" applyBorder="1" applyAlignment="1" applyProtection="1">
      <alignment horizontal="center"/>
      <protection/>
    </xf>
    <xf numFmtId="166" fontId="5" fillId="34" borderId="11" xfId="0" applyNumberFormat="1" applyFont="1" applyFill="1" applyBorder="1" applyAlignment="1" applyProtection="1">
      <alignment/>
      <protection/>
    </xf>
    <xf numFmtId="37" fontId="5" fillId="34" borderId="11" xfId="0" applyNumberFormat="1" applyFont="1" applyFill="1" applyBorder="1" applyAlignment="1" applyProtection="1" quotePrefix="1">
      <alignment horizontal="right"/>
      <protection/>
    </xf>
    <xf numFmtId="0" fontId="5" fillId="34" borderId="16" xfId="0" applyFont="1" applyFill="1" applyBorder="1" applyAlignment="1">
      <alignment horizontal="center"/>
    </xf>
    <xf numFmtId="1" fontId="5" fillId="34" borderId="25" xfId="0" applyNumberFormat="1" applyFont="1" applyFill="1" applyBorder="1" applyAlignment="1" applyProtection="1">
      <alignment horizontal="center"/>
      <protection/>
    </xf>
    <xf numFmtId="0" fontId="5" fillId="0" borderId="0" xfId="0" applyFont="1" applyAlignment="1" applyProtection="1">
      <alignment horizontal="left"/>
      <protection locked="0"/>
    </xf>
    <xf numFmtId="0" fontId="4" fillId="34" borderId="16" xfId="0" applyFont="1" applyFill="1" applyBorder="1" applyAlignment="1" applyProtection="1">
      <alignment horizontal="center"/>
      <protection/>
    </xf>
    <xf numFmtId="0" fontId="4" fillId="34" borderId="17" xfId="0" applyFont="1" applyFill="1" applyBorder="1" applyAlignment="1" applyProtection="1">
      <alignment horizontal="center"/>
      <protection/>
    </xf>
    <xf numFmtId="0" fontId="4" fillId="34" borderId="10" xfId="0" applyFont="1" applyFill="1" applyBorder="1" applyAlignment="1" applyProtection="1">
      <alignment horizontal="center"/>
      <protection/>
    </xf>
    <xf numFmtId="37" fontId="4" fillId="34" borderId="10" xfId="0" applyNumberFormat="1" applyFont="1" applyFill="1" applyBorder="1" applyAlignment="1" applyProtection="1">
      <alignment horizontal="center"/>
      <protection/>
    </xf>
    <xf numFmtId="37" fontId="5" fillId="34" borderId="22" xfId="0" applyNumberFormat="1" applyFont="1" applyFill="1" applyBorder="1" applyAlignment="1" applyProtection="1">
      <alignment horizontal="center"/>
      <protection/>
    </xf>
    <xf numFmtId="3" fontId="5" fillId="34" borderId="13" xfId="0" applyNumberFormat="1" applyFont="1" applyFill="1" applyBorder="1" applyAlignment="1" applyProtection="1">
      <alignment horizontal="right"/>
      <protection/>
    </xf>
    <xf numFmtId="3" fontId="5" fillId="34" borderId="11" xfId="42" applyNumberFormat="1" applyFont="1" applyFill="1" applyBorder="1" applyAlignment="1" applyProtection="1">
      <alignment/>
      <protection/>
    </xf>
    <xf numFmtId="0" fontId="5" fillId="34" borderId="19" xfId="0" applyFont="1" applyFill="1" applyBorder="1" applyAlignment="1" applyProtection="1">
      <alignment/>
      <protection/>
    </xf>
    <xf numFmtId="177" fontId="5" fillId="33" borderId="17" xfId="42" applyNumberFormat="1" applyFont="1" applyFill="1" applyBorder="1" applyAlignment="1" applyProtection="1">
      <alignment horizontal="center"/>
      <protection locked="0"/>
    </xf>
    <xf numFmtId="177" fontId="5" fillId="33" borderId="10" xfId="42" applyNumberFormat="1" applyFont="1" applyFill="1" applyBorder="1" applyAlignment="1" applyProtection="1">
      <alignment horizontal="center"/>
      <protection locked="0"/>
    </xf>
    <xf numFmtId="0" fontId="5" fillId="33" borderId="10" xfId="0" applyFont="1" applyFill="1" applyBorder="1" applyAlignment="1" applyProtection="1">
      <alignment horizontal="center"/>
      <protection locked="0"/>
    </xf>
    <xf numFmtId="3" fontId="5" fillId="34" borderId="10" xfId="0" applyNumberFormat="1" applyFont="1" applyFill="1" applyBorder="1" applyAlignment="1" applyProtection="1">
      <alignment horizontal="center"/>
      <protection/>
    </xf>
    <xf numFmtId="0" fontId="5" fillId="34" borderId="0" xfId="0" applyFont="1" applyFill="1" applyAlignment="1" applyProtection="1">
      <alignment horizontal="center"/>
      <protection locked="0"/>
    </xf>
    <xf numFmtId="174" fontId="5" fillId="33" borderId="10" xfId="0" applyNumberFormat="1" applyFont="1" applyFill="1" applyBorder="1" applyAlignment="1" applyProtection="1">
      <alignment horizontal="center"/>
      <protection locked="0"/>
    </xf>
    <xf numFmtId="2" fontId="5" fillId="33" borderId="10" xfId="0" applyNumberFormat="1" applyFont="1" applyFill="1" applyBorder="1" applyAlignment="1" applyProtection="1">
      <alignment horizontal="center"/>
      <protection locked="0"/>
    </xf>
    <xf numFmtId="3" fontId="5" fillId="33" borderId="10" xfId="0" applyNumberFormat="1" applyFont="1" applyFill="1" applyBorder="1" applyAlignment="1" applyProtection="1">
      <alignment horizontal="center"/>
      <protection locked="0"/>
    </xf>
    <xf numFmtId="37" fontId="5" fillId="33" borderId="10" xfId="0" applyNumberFormat="1" applyFont="1" applyFill="1" applyBorder="1" applyAlignment="1" applyProtection="1">
      <alignment horizontal="center"/>
      <protection locked="0"/>
    </xf>
    <xf numFmtId="175" fontId="5" fillId="33" borderId="10" xfId="0" applyNumberFormat="1" applyFont="1" applyFill="1" applyBorder="1" applyAlignment="1" applyProtection="1">
      <alignment horizontal="center"/>
      <protection locked="0"/>
    </xf>
    <xf numFmtId="174" fontId="4" fillId="34" borderId="10" xfId="0" applyNumberFormat="1" applyFont="1" applyFill="1" applyBorder="1" applyAlignment="1" applyProtection="1">
      <alignment horizontal="center"/>
      <protection/>
    </xf>
    <xf numFmtId="2" fontId="4" fillId="34" borderId="10" xfId="0" applyNumberFormat="1" applyFont="1" applyFill="1" applyBorder="1" applyAlignment="1" applyProtection="1">
      <alignment horizontal="center"/>
      <protection/>
    </xf>
    <xf numFmtId="3" fontId="4" fillId="34" borderId="10" xfId="0" applyNumberFormat="1" applyFont="1" applyFill="1" applyBorder="1" applyAlignment="1" applyProtection="1">
      <alignment horizontal="center"/>
      <protection/>
    </xf>
    <xf numFmtId="175" fontId="4" fillId="34" borderId="10" xfId="0" applyNumberFormat="1" applyFont="1" applyFill="1" applyBorder="1" applyAlignment="1" applyProtection="1">
      <alignment horizontal="center"/>
      <protection/>
    </xf>
    <xf numFmtId="174" fontId="5" fillId="34" borderId="10" xfId="0" applyNumberFormat="1" applyFont="1" applyFill="1" applyBorder="1" applyAlignment="1" applyProtection="1">
      <alignment horizontal="center"/>
      <protection/>
    </xf>
    <xf numFmtId="2" fontId="5" fillId="34" borderId="10" xfId="0" applyNumberFormat="1" applyFont="1" applyFill="1" applyBorder="1" applyAlignment="1" applyProtection="1">
      <alignment horizontal="center"/>
      <protection/>
    </xf>
    <xf numFmtId="175" fontId="5" fillId="34" borderId="10" xfId="0" applyNumberFormat="1" applyFont="1" applyFill="1" applyBorder="1" applyAlignment="1" applyProtection="1">
      <alignment horizontal="center"/>
      <protection/>
    </xf>
    <xf numFmtId="1" fontId="4" fillId="34" borderId="10" xfId="0" applyNumberFormat="1" applyFont="1" applyFill="1" applyBorder="1" applyAlignment="1" applyProtection="1">
      <alignment horizontal="center"/>
      <protection/>
    </xf>
    <xf numFmtId="1" fontId="5" fillId="34" borderId="10" xfId="0" applyNumberFormat="1" applyFont="1" applyFill="1" applyBorder="1" applyAlignment="1" applyProtection="1">
      <alignment horizontal="center"/>
      <protection/>
    </xf>
    <xf numFmtId="1" fontId="5" fillId="33" borderId="10" xfId="0" applyNumberFormat="1" applyFont="1" applyFill="1" applyBorder="1" applyAlignment="1" applyProtection="1">
      <alignment horizontal="center"/>
      <protection locked="0"/>
    </xf>
    <xf numFmtId="0" fontId="9" fillId="38" borderId="0" xfId="0" applyFont="1" applyFill="1" applyAlignment="1" applyProtection="1">
      <alignment shrinkToFit="1"/>
      <protection/>
    </xf>
    <xf numFmtId="10" fontId="5" fillId="34" borderId="0" xfId="0" applyNumberFormat="1" applyFont="1" applyFill="1" applyAlignment="1" applyProtection="1">
      <alignment horizontal="center"/>
      <protection locked="0"/>
    </xf>
    <xf numFmtId="186" fontId="5" fillId="33" borderId="17" xfId="0" applyNumberFormat="1" applyFont="1" applyFill="1" applyBorder="1" applyAlignment="1" applyProtection="1">
      <alignment/>
      <protection locked="0"/>
    </xf>
    <xf numFmtId="0" fontId="5" fillId="0" borderId="0" xfId="0" applyFont="1" applyAlignment="1">
      <alignment vertical="justify" wrapText="1"/>
    </xf>
    <xf numFmtId="0" fontId="5" fillId="0" borderId="0" xfId="0" applyFont="1" applyAlignment="1">
      <alignment horizontal="left" vertical="justify" wrapText="1"/>
    </xf>
    <xf numFmtId="0" fontId="5" fillId="0" borderId="0" xfId="0" applyFont="1" applyAlignment="1">
      <alignment horizontal="left" vertical="justify"/>
    </xf>
    <xf numFmtId="37" fontId="14" fillId="36" borderId="0" xfId="0" applyNumberFormat="1" applyFont="1" applyFill="1" applyAlignment="1" applyProtection="1">
      <alignment horizontal="left"/>
      <protection/>
    </xf>
    <xf numFmtId="37" fontId="5" fillId="38" borderId="11" xfId="0" applyNumberFormat="1" applyFont="1" applyFill="1" applyBorder="1" applyAlignment="1" applyProtection="1">
      <alignment horizontal="left"/>
      <protection/>
    </xf>
    <xf numFmtId="0" fontId="5" fillId="38" borderId="11" xfId="0" applyFont="1" applyFill="1" applyBorder="1" applyAlignment="1" applyProtection="1">
      <alignment/>
      <protection/>
    </xf>
    <xf numFmtId="37" fontId="5" fillId="38" borderId="13" xfId="0" applyNumberFormat="1" applyFont="1" applyFill="1" applyBorder="1" applyAlignment="1" applyProtection="1">
      <alignment horizontal="left"/>
      <protection/>
    </xf>
    <xf numFmtId="0" fontId="5" fillId="38" borderId="13" xfId="0" applyFont="1" applyFill="1" applyBorder="1" applyAlignment="1" applyProtection="1">
      <alignment/>
      <protection/>
    </xf>
    <xf numFmtId="37" fontId="5" fillId="38" borderId="17" xfId="0" applyNumberFormat="1" applyFont="1" applyFill="1" applyBorder="1" applyAlignment="1" applyProtection="1">
      <alignment horizontal="center"/>
      <protection/>
    </xf>
    <xf numFmtId="0" fontId="5" fillId="0" borderId="0" xfId="0" applyFont="1" applyFill="1" applyAlignment="1">
      <alignment/>
    </xf>
    <xf numFmtId="0" fontId="5" fillId="0" borderId="0" xfId="0" applyFont="1" applyFill="1" applyAlignment="1">
      <alignment wrapText="1"/>
    </xf>
    <xf numFmtId="0" fontId="5" fillId="38" borderId="0" xfId="0" applyFont="1" applyFill="1" applyAlignment="1">
      <alignment wrapText="1"/>
    </xf>
    <xf numFmtId="37" fontId="5" fillId="0" borderId="0" xfId="0" applyNumberFormat="1" applyFont="1" applyFill="1" applyAlignment="1" applyProtection="1">
      <alignment horizontal="left" wrapText="1"/>
      <protection/>
    </xf>
    <xf numFmtId="0" fontId="5" fillId="0" borderId="0" xfId="0" applyFont="1" applyAlignment="1" applyProtection="1">
      <alignment wrapText="1"/>
      <protection locked="0"/>
    </xf>
    <xf numFmtId="0" fontId="5" fillId="34" borderId="18" xfId="0" applyFont="1" applyFill="1" applyBorder="1" applyAlignment="1" applyProtection="1">
      <alignment horizontal="right"/>
      <protection/>
    </xf>
    <xf numFmtId="37" fontId="5" fillId="39" borderId="10" xfId="0" applyNumberFormat="1" applyFont="1" applyFill="1" applyBorder="1" applyAlignment="1" applyProtection="1">
      <alignment horizontal="left"/>
      <protection/>
    </xf>
    <xf numFmtId="0" fontId="5" fillId="39" borderId="10" xfId="0" applyFont="1" applyFill="1" applyBorder="1" applyAlignment="1" applyProtection="1">
      <alignment/>
      <protection/>
    </xf>
    <xf numFmtId="37" fontId="5" fillId="39" borderId="10" xfId="0" applyNumberFormat="1" applyFont="1" applyFill="1" applyBorder="1" applyAlignment="1" applyProtection="1">
      <alignment/>
      <protection/>
    </xf>
    <xf numFmtId="0" fontId="17" fillId="39" borderId="14" xfId="0" applyFont="1" applyFill="1" applyBorder="1" applyAlignment="1" applyProtection="1">
      <alignment horizontal="center"/>
      <protection/>
    </xf>
    <xf numFmtId="0" fontId="0" fillId="39" borderId="10" xfId="0" applyFill="1" applyBorder="1" applyAlignment="1" applyProtection="1">
      <alignment/>
      <protection/>
    </xf>
    <xf numFmtId="0" fontId="18" fillId="0" borderId="0" xfId="0" applyFont="1" applyAlignment="1">
      <alignment wrapText="1"/>
    </xf>
    <xf numFmtId="0" fontId="4" fillId="33" borderId="10" xfId="0" applyFont="1" applyFill="1" applyBorder="1" applyAlignment="1" applyProtection="1">
      <alignment horizontal="center"/>
      <protection locked="0"/>
    </xf>
    <xf numFmtId="37" fontId="5" fillId="33" borderId="11" xfId="0" applyNumberFormat="1" applyFont="1" applyFill="1" applyBorder="1" applyAlignment="1" applyProtection="1">
      <alignment horizontal="left"/>
      <protection locked="0"/>
    </xf>
    <xf numFmtId="0" fontId="5" fillId="33" borderId="11" xfId="0" applyFont="1" applyFill="1" applyBorder="1" applyAlignment="1" applyProtection="1">
      <alignment/>
      <protection/>
    </xf>
    <xf numFmtId="37" fontId="5" fillId="33" borderId="13" xfId="0" applyNumberFormat="1" applyFont="1" applyFill="1" applyBorder="1" applyAlignment="1" applyProtection="1">
      <alignment horizontal="left"/>
      <protection locked="0"/>
    </xf>
    <xf numFmtId="0" fontId="5" fillId="33" borderId="13" xfId="0" applyFont="1" applyFill="1" applyBorder="1" applyAlignment="1" applyProtection="1">
      <alignment/>
      <protection/>
    </xf>
    <xf numFmtId="37" fontId="5" fillId="40" borderId="10" xfId="0" applyNumberFormat="1" applyFont="1" applyFill="1" applyBorder="1" applyAlignment="1" applyProtection="1">
      <alignment/>
      <protection/>
    </xf>
    <xf numFmtId="164" fontId="5" fillId="40" borderId="10" xfId="0" applyNumberFormat="1" applyFont="1" applyFill="1" applyBorder="1" applyAlignment="1" applyProtection="1">
      <alignment/>
      <protection/>
    </xf>
    <xf numFmtId="37" fontId="4" fillId="40" borderId="10" xfId="0" applyNumberFormat="1" applyFont="1" applyFill="1" applyBorder="1" applyAlignment="1" applyProtection="1">
      <alignment/>
      <protection/>
    </xf>
    <xf numFmtId="37" fontId="4" fillId="40" borderId="21" xfId="0" applyNumberFormat="1" applyFont="1" applyFill="1" applyBorder="1" applyAlignment="1" applyProtection="1">
      <alignment/>
      <protection/>
    </xf>
    <xf numFmtId="3" fontId="5" fillId="40" borderId="10" xfId="0" applyNumberFormat="1" applyFont="1" applyFill="1" applyBorder="1" applyAlignment="1" applyProtection="1">
      <alignment/>
      <protection/>
    </xf>
    <xf numFmtId="3" fontId="4" fillId="40" borderId="10" xfId="0" applyNumberFormat="1" applyFont="1" applyFill="1" applyBorder="1" applyAlignment="1" applyProtection="1">
      <alignment/>
      <protection/>
    </xf>
    <xf numFmtId="3" fontId="13" fillId="40" borderId="10" xfId="0" applyNumberFormat="1" applyFont="1" applyFill="1" applyBorder="1" applyAlignment="1">
      <alignment horizontal="center"/>
    </xf>
    <xf numFmtId="0" fontId="13" fillId="40" borderId="10" xfId="0" applyFont="1" applyFill="1" applyBorder="1" applyAlignment="1">
      <alignment horizontal="center"/>
    </xf>
    <xf numFmtId="0" fontId="13" fillId="40" borderId="17" xfId="0" applyFont="1" applyFill="1" applyBorder="1" applyAlignment="1">
      <alignment horizontal="center"/>
    </xf>
    <xf numFmtId="3" fontId="19" fillId="39" borderId="10" xfId="0" applyNumberFormat="1" applyFont="1" applyFill="1" applyBorder="1" applyAlignment="1">
      <alignment horizontal="center"/>
    </xf>
    <xf numFmtId="0" fontId="5" fillId="40" borderId="0" xfId="0" applyFont="1" applyFill="1" applyAlignment="1">
      <alignment/>
    </xf>
    <xf numFmtId="3" fontId="5" fillId="40" borderId="10" xfId="0" applyNumberFormat="1" applyFont="1" applyFill="1" applyBorder="1" applyAlignment="1" applyProtection="1">
      <alignment horizontal="center"/>
      <protection/>
    </xf>
    <xf numFmtId="37" fontId="5" fillId="40" borderId="21" xfId="0" applyNumberFormat="1" applyFont="1" applyFill="1" applyBorder="1" applyAlignment="1" applyProtection="1">
      <alignment horizontal="center"/>
      <protection/>
    </xf>
    <xf numFmtId="165" fontId="5" fillId="40" borderId="11" xfId="0" applyNumberFormat="1" applyFont="1" applyFill="1" applyBorder="1" applyAlignment="1" applyProtection="1">
      <alignment/>
      <protection/>
    </xf>
    <xf numFmtId="37" fontId="4" fillId="40" borderId="10" xfId="0" applyNumberFormat="1" applyFont="1" applyFill="1" applyBorder="1" applyAlignment="1" applyProtection="1">
      <alignment horizontal="center"/>
      <protection/>
    </xf>
    <xf numFmtId="3" fontId="4" fillId="40" borderId="10" xfId="0" applyNumberFormat="1" applyFont="1" applyFill="1" applyBorder="1" applyAlignment="1" applyProtection="1">
      <alignment horizontal="center"/>
      <protection/>
    </xf>
    <xf numFmtId="3" fontId="4" fillId="40" borderId="21" xfId="0" applyNumberFormat="1" applyFont="1" applyFill="1" applyBorder="1" applyAlignment="1" applyProtection="1">
      <alignment horizontal="center"/>
      <protection/>
    </xf>
    <xf numFmtId="3" fontId="4" fillId="40" borderId="10" xfId="0" applyNumberFormat="1" applyFont="1" applyFill="1" applyBorder="1" applyAlignment="1" applyProtection="1">
      <alignment horizontal="right"/>
      <protection/>
    </xf>
    <xf numFmtId="3" fontId="4" fillId="40" borderId="17" xfId="0" applyNumberFormat="1" applyFont="1" applyFill="1" applyBorder="1" applyAlignment="1" applyProtection="1">
      <alignment horizontal="right"/>
      <protection/>
    </xf>
    <xf numFmtId="0" fontId="13" fillId="33" borderId="10" xfId="0" applyFont="1" applyFill="1" applyBorder="1" applyAlignment="1" applyProtection="1">
      <alignment/>
      <protection locked="0"/>
    </xf>
    <xf numFmtId="3" fontId="13" fillId="33" borderId="10" xfId="0" applyNumberFormat="1" applyFont="1" applyFill="1" applyBorder="1" applyAlignment="1" applyProtection="1">
      <alignment horizontal="center"/>
      <protection locked="0"/>
    </xf>
    <xf numFmtId="0" fontId="13" fillId="33" borderId="22" xfId="0" applyFont="1" applyFill="1" applyBorder="1" applyAlignment="1" applyProtection="1">
      <alignment/>
      <protection locked="0"/>
    </xf>
    <xf numFmtId="0" fontId="13" fillId="33" borderId="0" xfId="0" applyFont="1" applyFill="1" applyAlignment="1" applyProtection="1">
      <alignment/>
      <protection locked="0"/>
    </xf>
    <xf numFmtId="0" fontId="13" fillId="33" borderId="14" xfId="0" applyFont="1" applyFill="1" applyBorder="1" applyAlignment="1" applyProtection="1">
      <alignment/>
      <protection locked="0"/>
    </xf>
    <xf numFmtId="0" fontId="13" fillId="33" borderId="17" xfId="0" applyFont="1" applyFill="1" applyBorder="1" applyAlignment="1" applyProtection="1">
      <alignment/>
      <protection locked="0"/>
    </xf>
    <xf numFmtId="0" fontId="13" fillId="33" borderId="27" xfId="0" applyFont="1" applyFill="1" applyBorder="1" applyAlignment="1" applyProtection="1">
      <alignment/>
      <protection locked="0"/>
    </xf>
    <xf numFmtId="186" fontId="5" fillId="33" borderId="10" xfId="0" applyNumberFormat="1" applyFont="1" applyFill="1" applyBorder="1" applyAlignment="1" applyProtection="1">
      <alignment/>
      <protection locked="0"/>
    </xf>
    <xf numFmtId="0" fontId="6" fillId="38" borderId="0" xfId="0" applyFont="1" applyFill="1" applyAlignment="1" applyProtection="1">
      <alignment/>
      <protection/>
    </xf>
    <xf numFmtId="0" fontId="5" fillId="36" borderId="11" xfId="0" applyFont="1" applyFill="1" applyBorder="1" applyAlignment="1" applyProtection="1">
      <alignment/>
      <protection/>
    </xf>
    <xf numFmtId="0" fontId="5" fillId="36" borderId="13" xfId="0" applyFont="1" applyFill="1" applyBorder="1" applyAlignment="1" applyProtection="1">
      <alignment/>
      <protection/>
    </xf>
    <xf numFmtId="178" fontId="5" fillId="33" borderId="11" xfId="0" applyNumberFormat="1" applyFont="1" applyFill="1" applyBorder="1" applyAlignment="1" applyProtection="1">
      <alignment/>
      <protection locked="0"/>
    </xf>
    <xf numFmtId="178" fontId="5" fillId="33" borderId="13" xfId="0" applyNumberFormat="1" applyFont="1" applyFill="1" applyBorder="1" applyAlignment="1" applyProtection="1">
      <alignment/>
      <protection locked="0"/>
    </xf>
    <xf numFmtId="178" fontId="5" fillId="33" borderId="19" xfId="0" applyNumberFormat="1" applyFont="1" applyFill="1" applyBorder="1" applyAlignment="1" applyProtection="1">
      <alignment/>
      <protection locked="0"/>
    </xf>
    <xf numFmtId="0" fontId="17" fillId="0" borderId="0" xfId="0" applyFont="1" applyAlignment="1" applyProtection="1">
      <alignment/>
      <protection/>
    </xf>
    <xf numFmtId="0" fontId="5" fillId="34" borderId="0" xfId="0" applyFont="1" applyFill="1" applyBorder="1" applyAlignment="1" applyProtection="1">
      <alignment horizontal="right"/>
      <protection/>
    </xf>
    <xf numFmtId="37" fontId="14" fillId="34" borderId="12" xfId="0" applyNumberFormat="1" applyFont="1" applyFill="1" applyBorder="1" applyAlignment="1" applyProtection="1">
      <alignment horizontal="left"/>
      <protection/>
    </xf>
    <xf numFmtId="37" fontId="14" fillId="34" borderId="14" xfId="0" applyNumberFormat="1" applyFont="1" applyFill="1" applyBorder="1" applyAlignment="1" applyProtection="1">
      <alignment horizontal="center"/>
      <protection/>
    </xf>
    <xf numFmtId="14" fontId="5" fillId="33" borderId="10" xfId="0" applyNumberFormat="1" applyFont="1" applyFill="1" applyBorder="1" applyAlignment="1" applyProtection="1">
      <alignment horizontal="center"/>
      <protection locked="0"/>
    </xf>
    <xf numFmtId="0" fontId="5" fillId="33" borderId="12" xfId="0" applyFont="1" applyFill="1" applyBorder="1" applyAlignment="1" applyProtection="1">
      <alignment/>
      <protection locked="0"/>
    </xf>
    <xf numFmtId="0" fontId="5" fillId="33" borderId="12" xfId="0" applyFont="1" applyFill="1" applyBorder="1" applyAlignment="1" applyProtection="1">
      <alignment/>
      <protection locked="0"/>
    </xf>
    <xf numFmtId="37" fontId="5" fillId="33" borderId="12" xfId="0" applyNumberFormat="1" applyFont="1" applyFill="1" applyBorder="1" applyAlignment="1" applyProtection="1">
      <alignment horizontal="left"/>
      <protection locked="0"/>
    </xf>
    <xf numFmtId="37" fontId="5" fillId="33" borderId="14" xfId="0" applyNumberFormat="1" applyFont="1" applyFill="1" applyBorder="1" applyAlignment="1" applyProtection="1">
      <alignment/>
      <protection locked="0"/>
    </xf>
    <xf numFmtId="37" fontId="5" fillId="34" borderId="14" xfId="0" applyNumberFormat="1" applyFont="1" applyFill="1" applyBorder="1" applyAlignment="1" applyProtection="1">
      <alignment/>
      <protection/>
    </xf>
    <xf numFmtId="37" fontId="5" fillId="33" borderId="14" xfId="0" applyNumberFormat="1" applyFont="1" applyFill="1" applyBorder="1" applyAlignment="1" applyProtection="1">
      <alignment/>
      <protection locked="0"/>
    </xf>
    <xf numFmtId="37" fontId="4" fillId="40" borderId="14" xfId="0" applyNumberFormat="1" applyFont="1" applyFill="1" applyBorder="1" applyAlignment="1" applyProtection="1">
      <alignment/>
      <protection/>
    </xf>
    <xf numFmtId="37" fontId="5" fillId="34" borderId="25" xfId="0" applyNumberFormat="1" applyFont="1" applyFill="1" applyBorder="1" applyAlignment="1" applyProtection="1">
      <alignment horizontal="left"/>
      <protection/>
    </xf>
    <xf numFmtId="37" fontId="5" fillId="34" borderId="14" xfId="0" applyNumberFormat="1" applyFont="1" applyFill="1" applyBorder="1" applyAlignment="1" applyProtection="1">
      <alignment horizontal="left"/>
      <protection/>
    </xf>
    <xf numFmtId="37" fontId="5" fillId="33" borderId="14" xfId="0" applyNumberFormat="1" applyFont="1" applyFill="1" applyBorder="1" applyAlignment="1" applyProtection="1">
      <alignment horizontal="left"/>
      <protection/>
    </xf>
    <xf numFmtId="0" fontId="5" fillId="34" borderId="12" xfId="0" applyFont="1" applyFill="1" applyBorder="1" applyAlignment="1" applyProtection="1">
      <alignment horizontal="left"/>
      <protection/>
    </xf>
    <xf numFmtId="0" fontId="5" fillId="33" borderId="12" xfId="0" applyFont="1" applyFill="1" applyBorder="1" applyAlignment="1" applyProtection="1">
      <alignment horizontal="left"/>
      <protection locked="0"/>
    </xf>
    <xf numFmtId="3" fontId="5" fillId="33" borderId="14" xfId="0" applyNumberFormat="1" applyFont="1" applyFill="1" applyBorder="1" applyAlignment="1" applyProtection="1">
      <alignment/>
      <protection locked="0"/>
    </xf>
    <xf numFmtId="3" fontId="4" fillId="40" borderId="14" xfId="0" applyNumberFormat="1" applyFont="1" applyFill="1" applyBorder="1" applyAlignment="1" applyProtection="1">
      <alignment/>
      <protection/>
    </xf>
    <xf numFmtId="3" fontId="5" fillId="40" borderId="14" xfId="0" applyNumberFormat="1" applyFont="1" applyFill="1" applyBorder="1" applyAlignment="1" applyProtection="1">
      <alignment/>
      <protection/>
    </xf>
    <xf numFmtId="0" fontId="5" fillId="34" borderId="25" xfId="0" applyFont="1" applyFill="1" applyBorder="1" applyAlignment="1" applyProtection="1">
      <alignment horizontal="left"/>
      <protection/>
    </xf>
    <xf numFmtId="0" fontId="5" fillId="34" borderId="14" xfId="0" applyFont="1" applyFill="1" applyBorder="1" applyAlignment="1" applyProtection="1">
      <alignment horizontal="left"/>
      <protection/>
    </xf>
    <xf numFmtId="0" fontId="5" fillId="33" borderId="14" xfId="0" applyFont="1" applyFill="1" applyBorder="1" applyAlignment="1" applyProtection="1">
      <alignment horizontal="left"/>
      <protection/>
    </xf>
    <xf numFmtId="0" fontId="5" fillId="34" borderId="12" xfId="0" applyFont="1" applyFill="1" applyBorder="1" applyAlignment="1" applyProtection="1">
      <alignment/>
      <protection/>
    </xf>
    <xf numFmtId="0" fontId="5" fillId="34" borderId="12" xfId="0" applyFont="1" applyFill="1" applyBorder="1" applyAlignment="1" applyProtection="1">
      <alignment/>
      <protection locked="0"/>
    </xf>
    <xf numFmtId="37" fontId="5" fillId="34" borderId="12" xfId="0" applyNumberFormat="1" applyFont="1" applyFill="1" applyBorder="1" applyAlignment="1" applyProtection="1">
      <alignment/>
      <protection/>
    </xf>
    <xf numFmtId="0" fontId="5" fillId="34" borderId="12" xfId="0" applyNumberFormat="1" applyFont="1" applyFill="1" applyBorder="1" applyAlignment="1" applyProtection="1">
      <alignment horizontal="left"/>
      <protection/>
    </xf>
    <xf numFmtId="0" fontId="5" fillId="33" borderId="12" xfId="0" applyNumberFormat="1" applyFont="1" applyFill="1" applyBorder="1" applyAlignment="1" applyProtection="1">
      <alignment horizontal="left"/>
      <protection locked="0"/>
    </xf>
    <xf numFmtId="0" fontId="5" fillId="33" borderId="23" xfId="0" applyNumberFormat="1" applyFont="1" applyFill="1" applyBorder="1" applyAlignment="1" applyProtection="1">
      <alignment horizontal="left"/>
      <protection locked="0"/>
    </xf>
    <xf numFmtId="3" fontId="5" fillId="33" borderId="14" xfId="0" applyNumberFormat="1" applyFont="1" applyFill="1" applyBorder="1" applyAlignment="1" applyProtection="1">
      <alignment horizontal="right"/>
      <protection locked="0"/>
    </xf>
    <xf numFmtId="37" fontId="5" fillId="33" borderId="12" xfId="0" applyNumberFormat="1" applyFont="1" applyFill="1" applyBorder="1" applyAlignment="1" applyProtection="1">
      <alignment/>
      <protection locked="0"/>
    </xf>
    <xf numFmtId="0" fontId="4" fillId="34" borderId="12" xfId="0" applyFont="1" applyFill="1" applyBorder="1" applyAlignment="1" applyProtection="1">
      <alignment horizontal="left"/>
      <protection/>
    </xf>
    <xf numFmtId="0" fontId="4" fillId="34" borderId="14" xfId="0" applyFont="1" applyFill="1" applyBorder="1" applyAlignment="1" applyProtection="1">
      <alignment horizontal="left"/>
      <protection/>
    </xf>
    <xf numFmtId="0" fontId="4" fillId="33" borderId="14" xfId="0" applyFont="1" applyFill="1" applyBorder="1" applyAlignment="1" applyProtection="1">
      <alignment horizontal="left"/>
      <protection/>
    </xf>
    <xf numFmtId="0" fontId="5" fillId="38" borderId="15" xfId="0" applyFont="1" applyFill="1" applyBorder="1" applyAlignment="1">
      <alignment horizontal="center"/>
    </xf>
    <xf numFmtId="0" fontId="5" fillId="38" borderId="17" xfId="0" applyFont="1" applyFill="1" applyBorder="1" applyAlignment="1">
      <alignment horizontal="center"/>
    </xf>
    <xf numFmtId="0" fontId="17" fillId="34" borderId="0" xfId="0" applyFont="1" applyFill="1" applyAlignment="1">
      <alignment/>
    </xf>
    <xf numFmtId="0" fontId="20" fillId="34" borderId="0" xfId="0" applyFont="1" applyFill="1" applyAlignment="1">
      <alignment/>
    </xf>
    <xf numFmtId="37" fontId="5" fillId="34" borderId="10" xfId="0" applyNumberFormat="1" applyFont="1" applyFill="1" applyBorder="1" applyAlignment="1">
      <alignment/>
    </xf>
    <xf numFmtId="0" fontId="20" fillId="34" borderId="0" xfId="0" applyFont="1" applyFill="1" applyAlignment="1">
      <alignment/>
    </xf>
    <xf numFmtId="3" fontId="5" fillId="34" borderId="0" xfId="0" applyNumberFormat="1" applyFont="1" applyFill="1" applyAlignment="1" applyProtection="1">
      <alignment horizontal="center"/>
      <protection/>
    </xf>
    <xf numFmtId="0" fontId="15" fillId="34" borderId="0" xfId="0" applyFont="1" applyFill="1" applyAlignment="1" applyProtection="1">
      <alignment horizontal="center"/>
      <protection/>
    </xf>
    <xf numFmtId="0" fontId="5" fillId="34" borderId="15" xfId="0" applyFont="1" applyFill="1" applyBorder="1" applyAlignment="1" applyProtection="1">
      <alignment horizontal="center" wrapText="1"/>
      <protection/>
    </xf>
    <xf numFmtId="0" fontId="5" fillId="34" borderId="22" xfId="0" applyFont="1" applyFill="1" applyBorder="1" applyAlignment="1" applyProtection="1">
      <alignment horizontal="center" wrapText="1"/>
      <protection/>
    </xf>
    <xf numFmtId="0" fontId="5" fillId="34" borderId="10" xfId="0" applyFont="1" applyFill="1" applyBorder="1" applyAlignment="1" applyProtection="1">
      <alignment horizontal="center" wrapText="1"/>
      <protection/>
    </xf>
    <xf numFmtId="188" fontId="5" fillId="34" borderId="10" xfId="0" applyNumberFormat="1" applyFont="1" applyFill="1" applyBorder="1" applyAlignment="1" applyProtection="1">
      <alignment horizontal="center"/>
      <protection/>
    </xf>
    <xf numFmtId="3" fontId="5" fillId="34" borderId="21" xfId="0" applyNumberFormat="1" applyFont="1" applyFill="1" applyBorder="1" applyAlignment="1" applyProtection="1">
      <alignment horizontal="center"/>
      <protection/>
    </xf>
    <xf numFmtId="188" fontId="5" fillId="34" borderId="21" xfId="0" applyNumberFormat="1" applyFont="1" applyFill="1" applyBorder="1" applyAlignment="1" applyProtection="1">
      <alignment horizontal="center"/>
      <protection/>
    </xf>
    <xf numFmtId="188" fontId="5" fillId="34" borderId="11" xfId="0" applyNumberFormat="1" applyFont="1" applyFill="1" applyBorder="1" applyAlignment="1" applyProtection="1">
      <alignment horizontal="center"/>
      <protection/>
    </xf>
    <xf numFmtId="188" fontId="5" fillId="34" borderId="0" xfId="0" applyNumberFormat="1" applyFont="1" applyFill="1" applyBorder="1" applyAlignment="1" applyProtection="1">
      <alignment horizontal="center"/>
      <protection/>
    </xf>
    <xf numFmtId="3" fontId="5" fillId="34" borderId="11" xfId="0" applyNumberFormat="1" applyFont="1" applyFill="1" applyBorder="1" applyAlignment="1">
      <alignment horizontal="center"/>
    </xf>
    <xf numFmtId="0" fontId="0" fillId="34" borderId="0" xfId="0" applyFill="1" applyAlignment="1">
      <alignment horizontal="center"/>
    </xf>
    <xf numFmtId="178" fontId="5" fillId="34" borderId="0" xfId="0" applyNumberFormat="1" applyFont="1" applyFill="1" applyBorder="1" applyAlignment="1" applyProtection="1">
      <alignment/>
      <protection/>
    </xf>
    <xf numFmtId="0" fontId="5" fillId="34" borderId="24" xfId="0" applyFont="1" applyFill="1" applyBorder="1" applyAlignment="1" applyProtection="1">
      <alignment horizontal="left"/>
      <protection/>
    </xf>
    <xf numFmtId="0" fontId="5" fillId="34" borderId="22" xfId="0" applyFont="1" applyFill="1" applyBorder="1" applyAlignment="1" applyProtection="1">
      <alignment horizontal="left"/>
      <protection/>
    </xf>
    <xf numFmtId="0" fontId="5" fillId="34" borderId="23" xfId="0" applyFont="1" applyFill="1" applyBorder="1" applyAlignment="1" applyProtection="1">
      <alignment/>
      <protection/>
    </xf>
    <xf numFmtId="37" fontId="4" fillId="34" borderId="14" xfId="0" applyNumberFormat="1" applyFont="1" applyFill="1" applyBorder="1" applyAlignment="1" applyProtection="1">
      <alignment horizontal="left"/>
      <protection/>
    </xf>
    <xf numFmtId="37" fontId="17" fillId="39" borderId="14" xfId="0" applyNumberFormat="1" applyFont="1" applyFill="1" applyBorder="1" applyAlignment="1" applyProtection="1">
      <alignment horizontal="center"/>
      <protection/>
    </xf>
    <xf numFmtId="3" fontId="5" fillId="40" borderId="10" xfId="0" applyNumberFormat="1" applyFont="1" applyFill="1" applyBorder="1" applyAlignment="1" applyProtection="1">
      <alignment horizontal="right"/>
      <protection locked="0"/>
    </xf>
    <xf numFmtId="37" fontId="17" fillId="33" borderId="14" xfId="0" applyNumberFormat="1" applyFont="1" applyFill="1" applyBorder="1" applyAlignment="1" applyProtection="1">
      <alignment horizontal="center"/>
      <protection/>
    </xf>
    <xf numFmtId="188" fontId="5" fillId="34" borderId="11" xfId="0" applyNumberFormat="1" applyFont="1" applyFill="1" applyBorder="1" applyAlignment="1">
      <alignment horizontal="center"/>
    </xf>
    <xf numFmtId="3" fontId="5" fillId="33" borderId="10" xfId="0" applyNumberFormat="1" applyFont="1" applyFill="1" applyBorder="1" applyAlignment="1" applyProtection="1">
      <alignment horizontal="center"/>
      <protection locked="0"/>
    </xf>
    <xf numFmtId="3" fontId="5" fillId="33" borderId="15" xfId="0" applyNumberFormat="1" applyFont="1" applyFill="1" applyBorder="1" applyAlignment="1" applyProtection="1">
      <alignment horizontal="center"/>
      <protection locked="0"/>
    </xf>
    <xf numFmtId="0" fontId="5" fillId="37" borderId="0" xfId="0" applyFont="1" applyFill="1" applyAlignment="1">
      <alignment/>
    </xf>
    <xf numFmtId="0" fontId="5" fillId="37" borderId="0" xfId="0" applyFont="1" applyFill="1" applyAlignment="1" applyProtection="1">
      <alignment/>
      <protection locked="0"/>
    </xf>
    <xf numFmtId="3" fontId="5" fillId="40" borderId="21" xfId="0" applyNumberFormat="1" applyFont="1" applyFill="1" applyBorder="1" applyAlignment="1" applyProtection="1">
      <alignment horizontal="center"/>
      <protection/>
    </xf>
    <xf numFmtId="0" fontId="5" fillId="37" borderId="0" xfId="57" applyFont="1" applyFill="1" applyProtection="1">
      <alignment/>
      <protection/>
    </xf>
    <xf numFmtId="0" fontId="5" fillId="37" borderId="0" xfId="0" applyFont="1" applyFill="1" applyAlignment="1" applyProtection="1">
      <alignment/>
      <protection/>
    </xf>
    <xf numFmtId="0" fontId="14" fillId="34" borderId="0" xfId="0" applyFont="1" applyFill="1" applyAlignment="1">
      <alignment horizontal="center"/>
    </xf>
    <xf numFmtId="0" fontId="21" fillId="34" borderId="0" xfId="0" applyFont="1" applyFill="1" applyAlignment="1">
      <alignment horizontal="center"/>
    </xf>
    <xf numFmtId="0" fontId="6" fillId="0" borderId="0" xfId="0" applyFont="1" applyAlignment="1">
      <alignment/>
    </xf>
    <xf numFmtId="0" fontId="0" fillId="0" borderId="0" xfId="0" applyAlignment="1">
      <alignment/>
    </xf>
    <xf numFmtId="3" fontId="22" fillId="39" borderId="0" xfId="0" applyNumberFormat="1" applyFont="1" applyFill="1" applyAlignment="1">
      <alignment horizontal="center"/>
    </xf>
    <xf numFmtId="37" fontId="5" fillId="40" borderId="14" xfId="0" applyNumberFormat="1" applyFont="1" applyFill="1" applyBorder="1" applyAlignment="1" applyProtection="1">
      <alignment/>
      <protection/>
    </xf>
    <xf numFmtId="164" fontId="5" fillId="34" borderId="17" xfId="0" applyNumberFormat="1" applyFont="1" applyFill="1" applyBorder="1" applyAlignment="1" applyProtection="1">
      <alignment/>
      <protection locked="0"/>
    </xf>
    <xf numFmtId="0" fontId="5" fillId="38" borderId="15" xfId="0" applyNumberFormat="1" applyFont="1" applyFill="1" applyBorder="1" applyAlignment="1" applyProtection="1">
      <alignment horizontal="center"/>
      <protection/>
    </xf>
    <xf numFmtId="3" fontId="5" fillId="33" borderId="17" xfId="0" applyNumberFormat="1" applyFont="1" applyFill="1" applyBorder="1" applyAlignment="1" applyProtection="1">
      <alignment/>
      <protection locked="0"/>
    </xf>
    <xf numFmtId="37" fontId="5" fillId="34" borderId="24" xfId="0" applyNumberFormat="1" applyFont="1" applyFill="1" applyBorder="1" applyAlignment="1" applyProtection="1">
      <alignment horizontal="center"/>
      <protection/>
    </xf>
    <xf numFmtId="164" fontId="5" fillId="34" borderId="11" xfId="0" applyNumberFormat="1" applyFont="1" applyFill="1" applyBorder="1" applyAlignment="1" applyProtection="1">
      <alignment/>
      <protection locked="0"/>
    </xf>
    <xf numFmtId="1" fontId="5" fillId="34" borderId="23" xfId="0" applyNumberFormat="1" applyFont="1" applyFill="1" applyBorder="1" applyAlignment="1" applyProtection="1">
      <alignment horizontal="center"/>
      <protection/>
    </xf>
    <xf numFmtId="37" fontId="5" fillId="34" borderId="23" xfId="0" applyNumberFormat="1" applyFont="1" applyFill="1" applyBorder="1" applyAlignment="1" applyProtection="1">
      <alignment horizontal="center"/>
      <protection/>
    </xf>
    <xf numFmtId="3" fontId="5" fillId="33" borderId="12" xfId="0" applyNumberFormat="1" applyFont="1" applyFill="1" applyBorder="1" applyAlignment="1" applyProtection="1">
      <alignment/>
      <protection locked="0"/>
    </xf>
    <xf numFmtId="3" fontId="5" fillId="34" borderId="12" xfId="0" applyNumberFormat="1" applyFont="1" applyFill="1" applyBorder="1" applyAlignment="1" applyProtection="1">
      <alignment/>
      <protection/>
    </xf>
    <xf numFmtId="37" fontId="5" fillId="34" borderId="12" xfId="0" applyNumberFormat="1" applyFont="1" applyFill="1" applyBorder="1" applyAlignment="1" applyProtection="1">
      <alignment/>
      <protection/>
    </xf>
    <xf numFmtId="3" fontId="5" fillId="40" borderId="12" xfId="0" applyNumberFormat="1" applyFont="1" applyFill="1" applyBorder="1" applyAlignment="1" applyProtection="1">
      <alignment/>
      <protection/>
    </xf>
    <xf numFmtId="37" fontId="17" fillId="39" borderId="12" xfId="0" applyNumberFormat="1" applyFont="1" applyFill="1" applyBorder="1" applyAlignment="1" applyProtection="1">
      <alignment horizontal="center"/>
      <protection/>
    </xf>
    <xf numFmtId="37" fontId="4" fillId="40" borderId="12" xfId="0" applyNumberFormat="1" applyFont="1" applyFill="1" applyBorder="1" applyAlignment="1" applyProtection="1">
      <alignment/>
      <protection/>
    </xf>
    <xf numFmtId="3" fontId="4" fillId="40" borderId="12" xfId="0" applyNumberFormat="1" applyFont="1" applyFill="1" applyBorder="1" applyAlignment="1" applyProtection="1">
      <alignment/>
      <protection/>
    </xf>
    <xf numFmtId="0" fontId="0" fillId="34" borderId="0" xfId="0" applyFill="1" applyAlignment="1">
      <alignment/>
    </xf>
    <xf numFmtId="0" fontId="5" fillId="34" borderId="0" xfId="0" applyFont="1" applyFill="1" applyAlignment="1" applyProtection="1">
      <alignment/>
      <protection/>
    </xf>
    <xf numFmtId="166" fontId="5" fillId="34" borderId="11" xfId="0" applyNumberFormat="1" applyFont="1" applyFill="1" applyBorder="1" applyAlignment="1" applyProtection="1">
      <alignment/>
      <protection/>
    </xf>
    <xf numFmtId="37" fontId="17" fillId="39" borderId="10" xfId="0" applyNumberFormat="1" applyFont="1" applyFill="1" applyBorder="1" applyAlignment="1" applyProtection="1">
      <alignment horizontal="center"/>
      <protection/>
    </xf>
    <xf numFmtId="0" fontId="5" fillId="34" borderId="0" xfId="0" applyFont="1" applyFill="1" applyAlignment="1" applyProtection="1">
      <alignment horizontal="left"/>
      <protection locked="0"/>
    </xf>
    <xf numFmtId="37" fontId="5" fillId="41" borderId="10" xfId="0" applyNumberFormat="1" applyFont="1" applyFill="1" applyBorder="1" applyAlignment="1" applyProtection="1">
      <alignment/>
      <protection/>
    </xf>
    <xf numFmtId="3" fontId="5" fillId="41" borderId="10" xfId="0" applyNumberFormat="1" applyFont="1" applyFill="1" applyBorder="1" applyAlignment="1" applyProtection="1">
      <alignment/>
      <protection/>
    </xf>
    <xf numFmtId="0" fontId="0" fillId="34" borderId="0" xfId="0" applyFill="1" applyBorder="1" applyAlignment="1">
      <alignment horizontal="right"/>
    </xf>
    <xf numFmtId="3" fontId="5" fillId="39" borderId="10" xfId="0" applyNumberFormat="1" applyFont="1" applyFill="1" applyBorder="1" applyAlignment="1" applyProtection="1">
      <alignment/>
      <protection/>
    </xf>
    <xf numFmtId="0" fontId="5" fillId="40" borderId="12" xfId="0" applyFont="1" applyFill="1" applyBorder="1" applyAlignment="1" applyProtection="1">
      <alignment/>
      <protection/>
    </xf>
    <xf numFmtId="0" fontId="17" fillId="34" borderId="0" xfId="0" applyFont="1" applyFill="1" applyAlignment="1" applyProtection="1">
      <alignment/>
      <protection/>
    </xf>
    <xf numFmtId="3" fontId="5" fillId="40" borderId="10" xfId="0" applyNumberFormat="1" applyFont="1" applyFill="1" applyBorder="1" applyAlignment="1" applyProtection="1">
      <alignment/>
      <protection/>
    </xf>
    <xf numFmtId="0" fontId="4" fillId="40" borderId="14" xfId="0" applyFont="1" applyFill="1" applyBorder="1" applyAlignment="1" applyProtection="1">
      <alignment horizontal="left"/>
      <protection/>
    </xf>
    <xf numFmtId="37" fontId="17" fillId="34" borderId="0" xfId="0" applyNumberFormat="1" applyFont="1" applyFill="1" applyBorder="1" applyAlignment="1" applyProtection="1">
      <alignment horizontal="center"/>
      <protection/>
    </xf>
    <xf numFmtId="0" fontId="17" fillId="34" borderId="0" xfId="0" applyFont="1" applyFill="1" applyAlignment="1">
      <alignment horizontal="center"/>
    </xf>
    <xf numFmtId="0" fontId="17" fillId="34" borderId="0" xfId="0" applyFont="1" applyFill="1" applyAlignment="1" applyProtection="1">
      <alignment horizontal="center"/>
      <protection/>
    </xf>
    <xf numFmtId="3" fontId="17" fillId="34" borderId="0" xfId="0" applyNumberFormat="1" applyFont="1" applyFill="1" applyAlignment="1" applyProtection="1">
      <alignment horizontal="center"/>
      <protection/>
    </xf>
    <xf numFmtId="0" fontId="5" fillId="0" borderId="0" xfId="0" applyNumberFormat="1" applyFont="1" applyAlignment="1">
      <alignment wrapText="1"/>
    </xf>
    <xf numFmtId="37" fontId="5" fillId="36" borderId="0" xfId="0" applyNumberFormat="1" applyFont="1" applyFill="1" applyAlignment="1" applyProtection="1">
      <alignment horizontal="center"/>
      <protection/>
    </xf>
    <xf numFmtId="0" fontId="5" fillId="36" borderId="11" xfId="0" applyFont="1" applyFill="1" applyBorder="1" applyAlignment="1">
      <alignment horizontal="center"/>
    </xf>
    <xf numFmtId="37" fontId="5" fillId="34" borderId="14" xfId="0" applyNumberFormat="1" applyFont="1" applyFill="1" applyBorder="1" applyAlignment="1" applyProtection="1">
      <alignment horizontal="center"/>
      <protection/>
    </xf>
    <xf numFmtId="0" fontId="5" fillId="34" borderId="14" xfId="0" applyFont="1" applyFill="1" applyBorder="1" applyAlignment="1" applyProtection="1">
      <alignment horizontal="center"/>
      <protection/>
    </xf>
    <xf numFmtId="0" fontId="5" fillId="34" borderId="27" xfId="0" applyFont="1" applyFill="1" applyBorder="1" applyAlignment="1" applyProtection="1">
      <alignment horizontal="center"/>
      <protection/>
    </xf>
    <xf numFmtId="0" fontId="5" fillId="34" borderId="22" xfId="0" applyFont="1" applyFill="1" applyBorder="1" applyAlignment="1" applyProtection="1">
      <alignment horizontal="center"/>
      <protection/>
    </xf>
    <xf numFmtId="37" fontId="5" fillId="40" borderId="10" xfId="0" applyNumberFormat="1" applyFont="1" applyFill="1" applyBorder="1" applyAlignment="1" applyProtection="1">
      <alignment horizontal="center"/>
      <protection/>
    </xf>
    <xf numFmtId="3" fontId="5" fillId="33" borderId="14" xfId="0" applyNumberFormat="1" applyFont="1" applyFill="1" applyBorder="1" applyAlignment="1" applyProtection="1">
      <alignment/>
      <protection locked="0"/>
    </xf>
    <xf numFmtId="0" fontId="8" fillId="33" borderId="10" xfId="0" applyFont="1" applyFill="1" applyBorder="1" applyAlignment="1" applyProtection="1">
      <alignment/>
      <protection locked="0"/>
    </xf>
    <xf numFmtId="0" fontId="8" fillId="33" borderId="10" xfId="0" applyFont="1" applyFill="1" applyBorder="1" applyAlignment="1" applyProtection="1">
      <alignment/>
      <protection locked="0"/>
    </xf>
    <xf numFmtId="0" fontId="8" fillId="33" borderId="10" xfId="0" applyFont="1" applyFill="1" applyBorder="1" applyAlignment="1" applyProtection="1">
      <alignment wrapText="1"/>
      <protection locked="0"/>
    </xf>
    <xf numFmtId="0" fontId="5" fillId="33" borderId="10" xfId="0" applyNumberFormat="1" applyFont="1" applyFill="1" applyBorder="1" applyAlignment="1" applyProtection="1">
      <alignment horizontal="center"/>
      <protection locked="0"/>
    </xf>
    <xf numFmtId="14" fontId="5" fillId="33" borderId="10" xfId="0" applyNumberFormat="1" applyFont="1" applyFill="1" applyBorder="1" applyAlignment="1" applyProtection="1">
      <alignment/>
      <protection locked="0"/>
    </xf>
    <xf numFmtId="16" fontId="5" fillId="33" borderId="10" xfId="0" applyNumberFormat="1" applyFont="1" applyFill="1" applyBorder="1" applyAlignment="1" applyProtection="1">
      <alignment/>
      <protection locked="0"/>
    </xf>
    <xf numFmtId="0" fontId="5" fillId="34" borderId="13" xfId="0" applyFont="1" applyFill="1" applyBorder="1" applyAlignment="1" applyProtection="1">
      <alignment/>
      <protection locked="0"/>
    </xf>
    <xf numFmtId="37" fontId="5" fillId="34" borderId="13" xfId="0" applyNumberFormat="1" applyFont="1" applyFill="1" applyBorder="1" applyAlignment="1" applyProtection="1">
      <alignment horizontal="centerContinuous"/>
      <protection/>
    </xf>
    <xf numFmtId="0" fontId="5" fillId="33" borderId="0" xfId="0" applyFont="1" applyFill="1" applyBorder="1" applyAlignment="1" applyProtection="1">
      <alignment/>
      <protection locked="0"/>
    </xf>
    <xf numFmtId="37" fontId="23" fillId="33" borderId="10" xfId="0" applyNumberFormat="1" applyFont="1" applyFill="1" applyBorder="1" applyAlignment="1" applyProtection="1">
      <alignment/>
      <protection locked="0"/>
    </xf>
    <xf numFmtId="0" fontId="60" fillId="33" borderId="14" xfId="0" applyFont="1" applyFill="1" applyBorder="1" applyAlignment="1" applyProtection="1">
      <alignment horizontal="left"/>
      <protection/>
    </xf>
    <xf numFmtId="0" fontId="24" fillId="0" borderId="0" xfId="0" applyFont="1" applyAlignment="1" applyProtection="1">
      <alignment/>
      <protection locked="0"/>
    </xf>
    <xf numFmtId="0" fontId="0" fillId="34" borderId="0" xfId="0" applyFont="1" applyFill="1" applyAlignment="1">
      <alignment horizontal="center"/>
    </xf>
    <xf numFmtId="0" fontId="15" fillId="34" borderId="0" xfId="0" applyFont="1" applyFill="1" applyBorder="1" applyAlignment="1">
      <alignment horizontal="center"/>
    </xf>
    <xf numFmtId="0" fontId="15" fillId="34" borderId="19" xfId="0" applyFont="1" applyFill="1" applyBorder="1" applyAlignment="1">
      <alignment horizontal="center"/>
    </xf>
    <xf numFmtId="0" fontId="0" fillId="34" borderId="0" xfId="0" applyFont="1" applyFill="1" applyBorder="1" applyAlignment="1">
      <alignment horizontal="center"/>
    </xf>
    <xf numFmtId="0" fontId="8" fillId="33" borderId="17" xfId="0" applyFont="1" applyFill="1" applyBorder="1" applyAlignment="1" applyProtection="1">
      <alignment/>
      <protection locked="0"/>
    </xf>
    <xf numFmtId="0" fontId="25" fillId="33" borderId="10" xfId="0" applyFont="1" applyFill="1" applyBorder="1" applyAlignment="1" applyProtection="1">
      <alignment/>
      <protection locked="0"/>
    </xf>
    <xf numFmtId="37" fontId="15" fillId="34" borderId="0" xfId="0" applyNumberFormat="1" applyFont="1" applyFill="1" applyAlignment="1" applyProtection="1">
      <alignment horizontal="center" vertical="justify"/>
      <protection/>
    </xf>
    <xf numFmtId="0" fontId="16" fillId="0" borderId="0" xfId="0" applyFont="1" applyAlignment="1">
      <alignment horizontal="center" vertical="justify"/>
    </xf>
    <xf numFmtId="37" fontId="14" fillId="34" borderId="0" xfId="0" applyNumberFormat="1" applyFont="1" applyFill="1" applyAlignment="1" applyProtection="1">
      <alignment horizontal="left"/>
      <protection/>
    </xf>
    <xf numFmtId="0" fontId="0" fillId="0" borderId="0" xfId="0" applyAlignment="1">
      <alignment horizontal="left"/>
    </xf>
    <xf numFmtId="0" fontId="17" fillId="34" borderId="0" xfId="0" applyFont="1" applyFill="1" applyBorder="1" applyAlignment="1">
      <alignment/>
    </xf>
    <xf numFmtId="0" fontId="20" fillId="0" borderId="0" xfId="0" applyFont="1" applyAlignment="1">
      <alignment/>
    </xf>
    <xf numFmtId="37" fontId="14" fillId="34" borderId="0" xfId="0" applyNumberFormat="1" applyFont="1" applyFill="1" applyBorder="1" applyAlignment="1" applyProtection="1">
      <alignment horizontal="center"/>
      <protection/>
    </xf>
    <xf numFmtId="0" fontId="0" fillId="0" borderId="0" xfId="0" applyAlignment="1">
      <alignment horizontal="center"/>
    </xf>
    <xf numFmtId="0" fontId="5" fillId="37" borderId="19" xfId="0" applyFont="1" applyFill="1" applyBorder="1" applyAlignment="1">
      <alignment wrapText="1"/>
    </xf>
    <xf numFmtId="0" fontId="0" fillId="0" borderId="19" xfId="0" applyBorder="1" applyAlignment="1">
      <alignment wrapText="1"/>
    </xf>
    <xf numFmtId="0" fontId="4" fillId="38" borderId="0" xfId="0" applyFont="1" applyFill="1" applyBorder="1" applyAlignment="1">
      <alignment horizontal="center"/>
    </xf>
    <xf numFmtId="0" fontId="1" fillId="38" borderId="0" xfId="0" applyFont="1" applyFill="1" applyBorder="1" applyAlignment="1">
      <alignment horizontal="center"/>
    </xf>
    <xf numFmtId="37" fontId="6" fillId="34" borderId="0" xfId="0" applyNumberFormat="1" applyFont="1" applyFill="1" applyAlignment="1" applyProtection="1">
      <alignment horizontal="center"/>
      <protection/>
    </xf>
    <xf numFmtId="0" fontId="0" fillId="34" borderId="0" xfId="0" applyFill="1" applyAlignment="1" applyProtection="1">
      <alignment horizontal="center"/>
      <protection/>
    </xf>
    <xf numFmtId="0" fontId="5" fillId="34" borderId="0" xfId="0" applyFont="1" applyFill="1" applyAlignment="1" applyProtection="1">
      <alignment horizontal="center"/>
      <protection/>
    </xf>
    <xf numFmtId="37" fontId="5" fillId="34" borderId="0" xfId="0" applyNumberFormat="1" applyFont="1" applyFill="1" applyAlignment="1" applyProtection="1">
      <alignment horizontal="center"/>
      <protection/>
    </xf>
    <xf numFmtId="0" fontId="9" fillId="38" borderId="19" xfId="0" applyFont="1" applyFill="1" applyBorder="1" applyAlignment="1" applyProtection="1">
      <alignment horizontal="center" wrapText="1" shrinkToFit="1"/>
      <protection/>
    </xf>
    <xf numFmtId="0" fontId="0" fillId="0" borderId="0" xfId="0" applyAlignment="1" applyProtection="1">
      <alignment horizontal="center" wrapText="1"/>
      <protection/>
    </xf>
    <xf numFmtId="0" fontId="7" fillId="34" borderId="0" xfId="0" applyFont="1" applyFill="1" applyAlignment="1">
      <alignment horizontal="center"/>
    </xf>
    <xf numFmtId="37" fontId="4" fillId="34" borderId="0" xfId="0" applyNumberFormat="1" applyFont="1" applyFill="1" applyAlignment="1">
      <alignment horizontal="center"/>
    </xf>
    <xf numFmtId="0" fontId="4" fillId="34" borderId="0" xfId="0" applyFont="1" applyFill="1" applyAlignment="1">
      <alignment horizontal="center"/>
    </xf>
    <xf numFmtId="37" fontId="4" fillId="34" borderId="0" xfId="0" applyNumberFormat="1" applyFont="1" applyFill="1" applyAlignment="1" applyProtection="1">
      <alignment horizontal="center"/>
      <protection/>
    </xf>
    <xf numFmtId="37" fontId="5" fillId="34" borderId="12" xfId="0" applyNumberFormat="1" applyFont="1" applyFill="1" applyBorder="1" applyAlignment="1" applyProtection="1">
      <alignment horizontal="center"/>
      <protection/>
    </xf>
    <xf numFmtId="37" fontId="5" fillId="34" borderId="13" xfId="0" applyNumberFormat="1" applyFont="1" applyFill="1" applyBorder="1" applyAlignment="1" applyProtection="1">
      <alignment horizontal="center"/>
      <protection/>
    </xf>
    <xf numFmtId="0" fontId="0" fillId="0" borderId="14" xfId="0" applyBorder="1" applyAlignment="1">
      <alignment/>
    </xf>
    <xf numFmtId="0" fontId="4" fillId="34" borderId="0" xfId="0" applyFont="1" applyFill="1" applyAlignment="1" applyProtection="1">
      <alignment horizontal="center"/>
      <protection/>
    </xf>
    <xf numFmtId="0" fontId="5" fillId="34" borderId="25" xfId="0" applyFont="1" applyFill="1" applyBorder="1" applyAlignment="1" applyProtection="1">
      <alignment horizontal="center"/>
      <protection/>
    </xf>
    <xf numFmtId="0" fontId="0" fillId="0" borderId="24" xfId="0" applyBorder="1" applyAlignment="1" applyProtection="1">
      <alignment/>
      <protection/>
    </xf>
    <xf numFmtId="1" fontId="5" fillId="34" borderId="25" xfId="0" applyNumberFormat="1" applyFont="1" applyFill="1" applyBorder="1" applyAlignment="1" applyProtection="1">
      <alignment horizontal="center"/>
      <protection/>
    </xf>
    <xf numFmtId="0" fontId="0" fillId="0" borderId="24" xfId="0" applyBorder="1" applyAlignment="1" applyProtection="1">
      <alignment horizontal="center"/>
      <protection/>
    </xf>
    <xf numFmtId="3" fontId="5" fillId="33" borderId="12" xfId="0" applyNumberFormat="1" applyFont="1" applyFill="1" applyBorder="1" applyAlignment="1" applyProtection="1">
      <alignment horizontal="right"/>
      <protection locked="0"/>
    </xf>
    <xf numFmtId="3" fontId="5" fillId="33" borderId="14" xfId="0" applyNumberFormat="1" applyFont="1" applyFill="1" applyBorder="1" applyAlignment="1" applyProtection="1">
      <alignment horizontal="right"/>
      <protection locked="0"/>
    </xf>
    <xf numFmtId="3" fontId="5" fillId="33" borderId="12" xfId="0" applyNumberFormat="1" applyFont="1" applyFill="1" applyBorder="1" applyAlignment="1" applyProtection="1">
      <alignment/>
      <protection locked="0"/>
    </xf>
    <xf numFmtId="3" fontId="5" fillId="33" borderId="14" xfId="0" applyNumberFormat="1" applyFont="1" applyFill="1" applyBorder="1" applyAlignment="1" applyProtection="1">
      <alignment/>
      <protection locked="0"/>
    </xf>
    <xf numFmtId="3" fontId="5" fillId="40" borderId="12" xfId="0" applyNumberFormat="1" applyFont="1" applyFill="1" applyBorder="1" applyAlignment="1" applyProtection="1">
      <alignment/>
      <protection/>
    </xf>
    <xf numFmtId="3" fontId="5" fillId="40" borderId="14" xfId="0" applyNumberFormat="1" applyFont="1" applyFill="1" applyBorder="1" applyAlignment="1" applyProtection="1">
      <alignment/>
      <protection/>
    </xf>
    <xf numFmtId="3" fontId="5" fillId="41" borderId="12" xfId="0" applyNumberFormat="1" applyFont="1" applyFill="1" applyBorder="1" applyAlignment="1" applyProtection="1">
      <alignment/>
      <protection/>
    </xf>
    <xf numFmtId="3" fontId="5" fillId="41" borderId="14" xfId="0" applyNumberFormat="1" applyFont="1" applyFill="1" applyBorder="1" applyAlignment="1" applyProtection="1">
      <alignment/>
      <protection/>
    </xf>
    <xf numFmtId="3" fontId="5" fillId="34" borderId="12" xfId="0" applyNumberFormat="1" applyFont="1" applyFill="1" applyBorder="1" applyAlignment="1" applyProtection="1">
      <alignment/>
      <protection/>
    </xf>
    <xf numFmtId="3" fontId="5" fillId="34" borderId="14" xfId="0" applyNumberFormat="1" applyFont="1" applyFill="1" applyBorder="1" applyAlignment="1" applyProtection="1">
      <alignment/>
      <protection/>
    </xf>
    <xf numFmtId="37" fontId="5" fillId="34" borderId="12" xfId="0" applyNumberFormat="1" applyFont="1" applyFill="1" applyBorder="1" applyAlignment="1" applyProtection="1">
      <alignment/>
      <protection/>
    </xf>
    <xf numFmtId="37" fontId="5" fillId="34" borderId="14" xfId="0" applyNumberFormat="1" applyFont="1" applyFill="1" applyBorder="1" applyAlignment="1" applyProtection="1">
      <alignment/>
      <protection/>
    </xf>
    <xf numFmtId="0" fontId="5" fillId="34" borderId="0" xfId="0" applyNumberFormat="1" applyFont="1" applyFill="1" applyBorder="1" applyAlignment="1" applyProtection="1">
      <alignment horizontal="right"/>
      <protection/>
    </xf>
    <xf numFmtId="0" fontId="0" fillId="0" borderId="0" xfId="0" applyAlignment="1">
      <alignment horizontal="right"/>
    </xf>
    <xf numFmtId="0" fontId="0" fillId="0" borderId="27" xfId="0" applyBorder="1" applyAlignment="1">
      <alignment horizontal="right"/>
    </xf>
    <xf numFmtId="37" fontId="5" fillId="34" borderId="19" xfId="0" applyNumberFormat="1" applyFont="1" applyFill="1" applyBorder="1" applyAlignment="1" applyProtection="1">
      <alignment horizontal="right"/>
      <protection/>
    </xf>
    <xf numFmtId="0" fontId="0" fillId="0" borderId="19" xfId="0" applyFont="1" applyBorder="1" applyAlignment="1">
      <alignment/>
    </xf>
    <xf numFmtId="0" fontId="0" fillId="0" borderId="22" xfId="0" applyFont="1" applyBorder="1" applyAlignment="1">
      <alignment/>
    </xf>
    <xf numFmtId="37" fontId="5" fillId="34" borderId="0" xfId="0" applyNumberFormat="1" applyFont="1" applyFill="1" applyAlignment="1" applyProtection="1">
      <alignment horizontal="right"/>
      <protection/>
    </xf>
    <xf numFmtId="37" fontId="5" fillId="34" borderId="27" xfId="0" applyNumberFormat="1" applyFont="1" applyFill="1" applyBorder="1" applyAlignment="1" applyProtection="1">
      <alignment horizontal="right"/>
      <protection/>
    </xf>
    <xf numFmtId="0" fontId="5" fillId="34" borderId="0" xfId="0" applyFont="1" applyFill="1" applyAlignment="1">
      <alignment horizontal="right"/>
    </xf>
    <xf numFmtId="0" fontId="5" fillId="34" borderId="0" xfId="0" applyFont="1" applyFill="1" applyAlignment="1">
      <alignment/>
    </xf>
    <xf numFmtId="37" fontId="17" fillId="39" borderId="12" xfId="0" applyNumberFormat="1" applyFont="1" applyFill="1" applyBorder="1" applyAlignment="1" applyProtection="1">
      <alignment horizontal="center"/>
      <protection/>
    </xf>
    <xf numFmtId="37" fontId="17" fillId="39" borderId="14" xfId="0" applyNumberFormat="1" applyFont="1" applyFill="1" applyBorder="1" applyAlignment="1" applyProtection="1">
      <alignment horizontal="center"/>
      <protection/>
    </xf>
    <xf numFmtId="37" fontId="4" fillId="40" borderId="12" xfId="0" applyNumberFormat="1" applyFont="1" applyFill="1" applyBorder="1" applyAlignment="1" applyProtection="1">
      <alignment/>
      <protection/>
    </xf>
    <xf numFmtId="37" fontId="4" fillId="40" borderId="14" xfId="0" applyNumberFormat="1" applyFont="1" applyFill="1" applyBorder="1" applyAlignment="1" applyProtection="1">
      <alignment/>
      <protection/>
    </xf>
    <xf numFmtId="3" fontId="4" fillId="40" borderId="12" xfId="0" applyNumberFormat="1" applyFont="1" applyFill="1" applyBorder="1" applyAlignment="1" applyProtection="1">
      <alignment/>
      <protection/>
    </xf>
    <xf numFmtId="3" fontId="4" fillId="40" borderId="14" xfId="0" applyNumberFormat="1" applyFont="1" applyFill="1" applyBorder="1" applyAlignment="1" applyProtection="1">
      <alignment/>
      <protection/>
    </xf>
    <xf numFmtId="37" fontId="5" fillId="34" borderId="23" xfId="0" applyNumberFormat="1" applyFont="1" applyFill="1" applyBorder="1" applyAlignment="1" applyProtection="1">
      <alignment horizontal="center"/>
      <protection/>
    </xf>
    <xf numFmtId="37" fontId="5" fillId="34" borderId="22" xfId="0" applyNumberFormat="1" applyFont="1" applyFill="1" applyBorder="1" applyAlignment="1" applyProtection="1">
      <alignment horizontal="center"/>
      <protection/>
    </xf>
    <xf numFmtId="0" fontId="5" fillId="34" borderId="25" xfId="0" applyNumberFormat="1" applyFont="1" applyFill="1" applyBorder="1" applyAlignment="1" applyProtection="1">
      <alignment horizontal="center"/>
      <protection/>
    </xf>
    <xf numFmtId="0" fontId="5" fillId="34" borderId="24" xfId="0" applyNumberFormat="1" applyFont="1" applyFill="1" applyBorder="1" applyAlignment="1" applyProtection="1">
      <alignment horizontal="center"/>
      <protection/>
    </xf>
    <xf numFmtId="1" fontId="5" fillId="34" borderId="23" xfId="0" applyNumberFormat="1" applyFont="1" applyFill="1" applyBorder="1" applyAlignment="1" applyProtection="1">
      <alignment horizontal="center"/>
      <protection/>
    </xf>
    <xf numFmtId="1" fontId="5" fillId="34" borderId="22" xfId="0" applyNumberFormat="1" applyFont="1" applyFill="1" applyBorder="1" applyAlignment="1" applyProtection="1">
      <alignment horizontal="center"/>
      <protection/>
    </xf>
    <xf numFmtId="37" fontId="5" fillId="33" borderId="12" xfId="0" applyNumberFormat="1" applyFont="1" applyFill="1" applyBorder="1" applyAlignment="1" applyProtection="1">
      <alignment/>
      <protection locked="0"/>
    </xf>
    <xf numFmtId="37" fontId="5" fillId="33" borderId="14" xfId="0" applyNumberFormat="1" applyFont="1" applyFill="1" applyBorder="1" applyAlignment="1" applyProtection="1">
      <alignment/>
      <protection locked="0"/>
    </xf>
    <xf numFmtId="3" fontId="4" fillId="40" borderId="12" xfId="0" applyNumberFormat="1" applyFont="1" applyFill="1" applyBorder="1" applyAlignment="1" applyProtection="1">
      <alignment horizontal="right"/>
      <protection/>
    </xf>
    <xf numFmtId="0" fontId="0" fillId="0" borderId="14" xfId="0" applyBorder="1" applyAlignment="1">
      <alignment horizontal="right"/>
    </xf>
    <xf numFmtId="3" fontId="5" fillId="40" borderId="12" xfId="0" applyNumberFormat="1" applyFont="1" applyFill="1" applyBorder="1" applyAlignment="1" applyProtection="1">
      <alignment horizontal="right"/>
      <protection/>
    </xf>
    <xf numFmtId="3" fontId="5" fillId="40" borderId="14" xfId="0" applyNumberFormat="1" applyFont="1" applyFill="1" applyBorder="1" applyAlignment="1" applyProtection="1">
      <alignment horizontal="right"/>
      <protection/>
    </xf>
    <xf numFmtId="3" fontId="4" fillId="40" borderId="14" xfId="0" applyNumberFormat="1" applyFont="1" applyFill="1" applyBorder="1" applyAlignment="1" applyProtection="1">
      <alignment horizontal="right"/>
      <protection/>
    </xf>
    <xf numFmtId="3" fontId="5" fillId="34" borderId="12" xfId="0" applyNumberFormat="1" applyFont="1" applyFill="1" applyBorder="1" applyAlignment="1" applyProtection="1">
      <alignment horizontal="right"/>
      <protection/>
    </xf>
    <xf numFmtId="3" fontId="5" fillId="34" borderId="14" xfId="0" applyNumberFormat="1" applyFont="1" applyFill="1" applyBorder="1" applyAlignment="1" applyProtection="1">
      <alignment horizontal="right"/>
      <protection/>
    </xf>
    <xf numFmtId="1" fontId="5" fillId="34" borderId="24" xfId="0" applyNumberFormat="1" applyFont="1" applyFill="1" applyBorder="1" applyAlignment="1" applyProtection="1">
      <alignment horizontal="center"/>
      <protection/>
    </xf>
    <xf numFmtId="3" fontId="5" fillId="34" borderId="12" xfId="42" applyNumberFormat="1" applyFont="1" applyFill="1" applyBorder="1" applyAlignment="1" applyProtection="1">
      <alignment horizontal="right"/>
      <protection/>
    </xf>
    <xf numFmtId="3" fontId="5" fillId="34" borderId="14" xfId="42" applyNumberFormat="1" applyFont="1" applyFill="1" applyBorder="1" applyAlignment="1" applyProtection="1">
      <alignment horizontal="right"/>
      <protection/>
    </xf>
    <xf numFmtId="0" fontId="5" fillId="34" borderId="12" xfId="0" applyFont="1" applyFill="1" applyBorder="1" applyAlignment="1" applyProtection="1">
      <alignment/>
      <protection/>
    </xf>
    <xf numFmtId="0" fontId="5" fillId="34" borderId="14" xfId="0" applyFont="1" applyFill="1" applyBorder="1" applyAlignment="1" applyProtection="1">
      <alignment/>
      <protection/>
    </xf>
    <xf numFmtId="0" fontId="0" fillId="0" borderId="0" xfId="0" applyBorder="1" applyAlignment="1">
      <alignment horizontal="right"/>
    </xf>
    <xf numFmtId="0" fontId="5" fillId="34" borderId="12" xfId="0" applyFont="1" applyFill="1" applyBorder="1" applyAlignment="1">
      <alignment horizontal="center"/>
    </xf>
    <xf numFmtId="0" fontId="5" fillId="34" borderId="14" xfId="0" applyFont="1" applyFill="1" applyBorder="1" applyAlignment="1">
      <alignment horizontal="center"/>
    </xf>
    <xf numFmtId="0" fontId="5" fillId="33" borderId="0" xfId="0" applyFont="1" applyFill="1" applyAlignment="1" applyProtection="1">
      <alignment horizontal="center"/>
      <protection locked="0"/>
    </xf>
    <xf numFmtId="0" fontId="0" fillId="33" borderId="0" xfId="0" applyFill="1" applyAlignment="1" applyProtection="1">
      <alignment/>
      <protection locked="0"/>
    </xf>
    <xf numFmtId="37" fontId="5" fillId="33" borderId="0" xfId="0" applyNumberFormat="1" applyFont="1" applyFill="1" applyAlignment="1" applyProtection="1">
      <alignment horizontal="center"/>
      <protection locked="0"/>
    </xf>
    <xf numFmtId="0" fontId="0" fillId="0" borderId="0" xfId="0" applyAlignment="1" applyProtection="1">
      <alignment/>
      <protection/>
    </xf>
    <xf numFmtId="0" fontId="5" fillId="34" borderId="0" xfId="0" applyFont="1" applyFill="1" applyAlignment="1" applyProtection="1">
      <alignment horizontal="right"/>
      <protection/>
    </xf>
    <xf numFmtId="0" fontId="0" fillId="0" borderId="0" xfId="0" applyAlignment="1">
      <alignment/>
    </xf>
    <xf numFmtId="0" fontId="5" fillId="0" borderId="0" xfId="0" applyFont="1" applyAlignment="1">
      <alignment horizontal="right"/>
    </xf>
    <xf numFmtId="0" fontId="5" fillId="0" borderId="0" xfId="0" applyFont="1" applyAlignment="1">
      <alignment horizontal="left" vertical="justify" wrapText="1"/>
    </xf>
    <xf numFmtId="0" fontId="5" fillId="0" borderId="0" xfId="0" applyFont="1" applyAlignment="1">
      <alignment horizontal="left" vertical="justify"/>
    </xf>
    <xf numFmtId="0" fontId="5" fillId="0" borderId="0" xfId="0" applyFont="1" applyAlignment="1">
      <alignment horizontal="center"/>
    </xf>
    <xf numFmtId="0" fontId="5" fillId="0" borderId="0" xfId="0" applyFont="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ebt" xfId="57"/>
    <cellStyle name="Normal_lpform" xfId="58"/>
    <cellStyle name="Note" xfId="59"/>
    <cellStyle name="Output" xfId="60"/>
    <cellStyle name="Percent" xfId="61"/>
    <cellStyle name="Title" xfId="62"/>
    <cellStyle name="Total" xfId="63"/>
    <cellStyle name="Warning Text" xfId="64"/>
  </cellStyles>
  <dxfs count="24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0"/>
  <sheetViews>
    <sheetView zoomScale="80" zoomScaleNormal="80" zoomScalePageLayoutView="0" workbookViewId="0" topLeftCell="A1">
      <selection activeCell="A2" sqref="A2"/>
    </sheetView>
  </sheetViews>
  <sheetFormatPr defaultColWidth="8.796875" defaultRowHeight="15"/>
  <cols>
    <col min="1" max="1" width="75.796875" style="2" customWidth="1"/>
    <col min="2" max="16384" width="8.8984375" style="2" customWidth="1"/>
  </cols>
  <sheetData>
    <row r="1" ht="15.75">
      <c r="A1" s="1" t="s">
        <v>314</v>
      </c>
    </row>
    <row r="3" ht="39.75" customHeight="1">
      <c r="A3" s="3" t="s">
        <v>396</v>
      </c>
    </row>
    <row r="4" ht="15.75">
      <c r="A4" s="4"/>
    </row>
    <row r="5" ht="49.5" customHeight="1">
      <c r="A5" s="5" t="s">
        <v>12</v>
      </c>
    </row>
    <row r="6" ht="15.75">
      <c r="A6" s="5"/>
    </row>
    <row r="7" ht="66.75" customHeight="1">
      <c r="A7" s="5" t="s">
        <v>108</v>
      </c>
    </row>
    <row r="8" ht="15.75">
      <c r="A8" s="5"/>
    </row>
    <row r="9" ht="32.25" customHeight="1">
      <c r="A9" s="5" t="s">
        <v>397</v>
      </c>
    </row>
    <row r="11" ht="51" customHeight="1">
      <c r="A11" s="5" t="s">
        <v>110</v>
      </c>
    </row>
    <row r="13" ht="15.75">
      <c r="A13" s="1" t="s">
        <v>33</v>
      </c>
    </row>
    <row r="14" ht="15.75">
      <c r="A14" s="1"/>
    </row>
    <row r="15" ht="15.75">
      <c r="A15" s="4" t="s">
        <v>36</v>
      </c>
    </row>
    <row r="17" ht="37.5" customHeight="1">
      <c r="A17" s="6" t="s">
        <v>431</v>
      </c>
    </row>
    <row r="18" ht="9" customHeight="1">
      <c r="A18" s="6"/>
    </row>
    <row r="20" ht="15.75">
      <c r="A20" s="1" t="s">
        <v>121</v>
      </c>
    </row>
    <row r="22" ht="36" customHeight="1">
      <c r="A22" s="5" t="s">
        <v>398</v>
      </c>
    </row>
    <row r="23" ht="15.75">
      <c r="A23" s="5"/>
    </row>
    <row r="24" ht="15.75">
      <c r="A24" s="252" t="s">
        <v>399</v>
      </c>
    </row>
    <row r="25" ht="12" customHeight="1">
      <c r="A25" s="5"/>
    </row>
    <row r="26" ht="15.75">
      <c r="A26" s="108" t="s">
        <v>292</v>
      </c>
    </row>
    <row r="27" ht="15.75">
      <c r="A27" s="241"/>
    </row>
    <row r="28" ht="84.75" customHeight="1">
      <c r="A28" s="109" t="s">
        <v>2</v>
      </c>
    </row>
    <row r="29" ht="12.75" customHeight="1">
      <c r="A29" s="242"/>
    </row>
    <row r="30" ht="15.75">
      <c r="A30" s="243" t="s">
        <v>400</v>
      </c>
    </row>
    <row r="31" ht="15.75">
      <c r="A31" s="242"/>
    </row>
    <row r="32" ht="15.75">
      <c r="A32" s="354" t="s">
        <v>32</v>
      </c>
    </row>
    <row r="33" ht="15.75">
      <c r="A33" s="242"/>
    </row>
    <row r="34" ht="15.75">
      <c r="A34" s="5" t="s">
        <v>222</v>
      </c>
    </row>
    <row r="36" ht="15.75">
      <c r="A36" s="1" t="s">
        <v>223</v>
      </c>
    </row>
    <row r="38" ht="66.75" customHeight="1">
      <c r="A38" s="5" t="s">
        <v>35</v>
      </c>
    </row>
    <row r="39" ht="35.25" customHeight="1">
      <c r="A39" s="5" t="s">
        <v>316</v>
      </c>
    </row>
    <row r="40" ht="53.25" customHeight="1">
      <c r="A40" s="244" t="s">
        <v>401</v>
      </c>
    </row>
    <row r="42" ht="84" customHeight="1">
      <c r="A42" s="5" t="s">
        <v>19</v>
      </c>
    </row>
    <row r="43" ht="53.25" customHeight="1">
      <c r="A43" s="5" t="s">
        <v>402</v>
      </c>
    </row>
    <row r="44" ht="102" customHeight="1">
      <c r="A44" s="5" t="s">
        <v>112</v>
      </c>
    </row>
    <row r="45" ht="15.75" customHeight="1">
      <c r="A45" s="5"/>
    </row>
    <row r="46" ht="69.75" customHeight="1">
      <c r="A46" s="5" t="s">
        <v>403</v>
      </c>
    </row>
    <row r="47" ht="37.5" customHeight="1">
      <c r="A47" s="5" t="s">
        <v>404</v>
      </c>
    </row>
    <row r="48" ht="69" customHeight="1">
      <c r="A48" s="5" t="s">
        <v>415</v>
      </c>
    </row>
    <row r="50" ht="84.75" customHeight="1">
      <c r="A50" s="5" t="s">
        <v>107</v>
      </c>
    </row>
    <row r="51" ht="116.25" customHeight="1">
      <c r="A51" s="5" t="s">
        <v>106</v>
      </c>
    </row>
    <row r="52" ht="38.25" customHeight="1">
      <c r="A52" s="5" t="s">
        <v>104</v>
      </c>
    </row>
    <row r="53" ht="15.75">
      <c r="A53" s="5"/>
    </row>
    <row r="54" ht="68.25" customHeight="1">
      <c r="A54" s="5" t="s">
        <v>37</v>
      </c>
    </row>
    <row r="55" ht="15.75">
      <c r="A55" s="5"/>
    </row>
    <row r="56" ht="66.75" customHeight="1">
      <c r="A56" s="5" t="s">
        <v>420</v>
      </c>
    </row>
    <row r="57" ht="51" customHeight="1">
      <c r="A57" s="5" t="s">
        <v>38</v>
      </c>
    </row>
    <row r="59" s="5" customFormat="1" ht="66.75" customHeight="1">
      <c r="A59" s="5" t="s">
        <v>416</v>
      </c>
    </row>
    <row r="61" ht="67.5" customHeight="1">
      <c r="A61" s="5" t="s">
        <v>3</v>
      </c>
    </row>
    <row r="63" ht="95.25" customHeight="1">
      <c r="A63" s="5" t="s">
        <v>109</v>
      </c>
    </row>
    <row r="64" ht="135.75" customHeight="1">
      <c r="A64" s="5" t="s">
        <v>111</v>
      </c>
    </row>
    <row r="65" ht="73.5" customHeight="1">
      <c r="A65" s="5" t="s">
        <v>73</v>
      </c>
    </row>
    <row r="66" ht="114.75" customHeight="1">
      <c r="A66" s="5" t="s">
        <v>421</v>
      </c>
    </row>
    <row r="67" ht="135" customHeight="1">
      <c r="A67" s="5" t="s">
        <v>99</v>
      </c>
    </row>
    <row r="68" ht="57" customHeight="1">
      <c r="A68" s="5" t="s">
        <v>90</v>
      </c>
    </row>
    <row r="69" ht="136.5" customHeight="1">
      <c r="A69" s="5" t="s">
        <v>120</v>
      </c>
    </row>
    <row r="70" ht="45" customHeight="1">
      <c r="A70" s="5" t="s">
        <v>74</v>
      </c>
    </row>
    <row r="71" ht="86.25" customHeight="1">
      <c r="A71" s="5" t="s">
        <v>91</v>
      </c>
    </row>
    <row r="72" ht="31.5" customHeight="1">
      <c r="A72" s="5" t="s">
        <v>113</v>
      </c>
    </row>
    <row r="73" ht="164.25" customHeight="1">
      <c r="A73" s="396" t="s">
        <v>114</v>
      </c>
    </row>
    <row r="74" ht="117.75" customHeight="1">
      <c r="A74" s="396" t="s">
        <v>115</v>
      </c>
    </row>
    <row r="75" ht="69" customHeight="1">
      <c r="A75" s="5" t="s">
        <v>98</v>
      </c>
    </row>
    <row r="77" ht="152.25" customHeight="1">
      <c r="A77" s="5" t="s">
        <v>29</v>
      </c>
    </row>
    <row r="78" ht="125.25" customHeight="1">
      <c r="A78" s="5" t="s">
        <v>94</v>
      </c>
    </row>
    <row r="79" ht="57" customHeight="1">
      <c r="A79" s="5" t="s">
        <v>92</v>
      </c>
    </row>
    <row r="80" ht="15.75">
      <c r="A80" s="5" t="s">
        <v>93</v>
      </c>
    </row>
    <row r="82" ht="58.5" customHeight="1">
      <c r="A82" s="5" t="s">
        <v>30</v>
      </c>
    </row>
    <row r="83" ht="81.75" customHeight="1">
      <c r="A83" s="245" t="s">
        <v>41</v>
      </c>
    </row>
    <row r="84" ht="38.25" customHeight="1">
      <c r="A84" s="5" t="s">
        <v>42</v>
      </c>
    </row>
    <row r="85" ht="24.75" customHeight="1">
      <c r="A85" s="5" t="s">
        <v>43</v>
      </c>
    </row>
    <row r="86" ht="25.5" customHeight="1">
      <c r="A86" s="5" t="s">
        <v>44</v>
      </c>
    </row>
    <row r="87" ht="39" customHeight="1">
      <c r="A87" s="5" t="s">
        <v>45</v>
      </c>
    </row>
    <row r="88" ht="53.25" customHeight="1">
      <c r="A88" s="5" t="s">
        <v>46</v>
      </c>
    </row>
    <row r="90" ht="47.25">
      <c r="A90" s="5" t="s">
        <v>47</v>
      </c>
    </row>
  </sheetData>
  <sheetProtection sheet="1" objects="1" scenarios="1"/>
  <printOptions/>
  <pageMargins left="0.5" right="0.5" top="0.5" bottom="0.5" header="0.5" footer="0"/>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pageSetUpPr fitToPage="1"/>
  </sheetPr>
  <dimension ref="A1:H119"/>
  <sheetViews>
    <sheetView zoomScale="85" zoomScaleNormal="85" zoomScaleSheetLayoutView="100" zoomScalePageLayoutView="0" workbookViewId="0" topLeftCell="A94">
      <selection activeCell="C107" sqref="C107:D107"/>
    </sheetView>
  </sheetViews>
  <sheetFormatPr defaultColWidth="8.796875" defaultRowHeight="15"/>
  <cols>
    <col min="1" max="1" width="28.796875" style="7" customWidth="1"/>
    <col min="2" max="2" width="9.59765625" style="7" customWidth="1"/>
    <col min="3" max="3" width="10.09765625" style="7" customWidth="1"/>
    <col min="4" max="4" width="5.796875" style="7" customWidth="1"/>
    <col min="5" max="5" width="9.69921875" style="7" customWidth="1"/>
    <col min="6" max="6" width="6.69921875" style="7" customWidth="1"/>
    <col min="7" max="7" width="16.296875" style="7" customWidth="1"/>
    <col min="8" max="16384" width="8.8984375" style="7" customWidth="1"/>
  </cols>
  <sheetData>
    <row r="1" spans="1:7" ht="15.75">
      <c r="A1" s="72" t="str">
        <f>inputPrYr!D2</f>
        <v>CITY OF PARK CITY</v>
      </c>
      <c r="B1" s="72"/>
      <c r="C1" s="21"/>
      <c r="D1" s="21"/>
      <c r="E1" s="21"/>
      <c r="F1" s="21"/>
      <c r="G1" s="139">
        <f>inputPrYr!C5</f>
        <v>2010</v>
      </c>
    </row>
    <row r="2" spans="1:7" ht="15.75">
      <c r="A2" s="21"/>
      <c r="B2" s="21"/>
      <c r="C2" s="21"/>
      <c r="D2" s="21"/>
      <c r="E2" s="21"/>
      <c r="F2" s="21"/>
      <c r="G2" s="24"/>
    </row>
    <row r="3" spans="1:7" ht="15.75">
      <c r="A3" s="90" t="s">
        <v>232</v>
      </c>
      <c r="B3" s="90"/>
      <c r="C3" s="21"/>
      <c r="D3" s="21"/>
      <c r="E3" s="21"/>
      <c r="F3" s="21"/>
      <c r="G3" s="23"/>
    </row>
    <row r="4" spans="1:7" ht="15.75">
      <c r="A4" s="21"/>
      <c r="B4" s="21"/>
      <c r="C4" s="91"/>
      <c r="D4" s="91"/>
      <c r="E4" s="91"/>
      <c r="F4" s="91"/>
      <c r="G4" s="91"/>
    </row>
    <row r="5" spans="1:7" ht="15.75">
      <c r="A5" s="92" t="s">
        <v>156</v>
      </c>
      <c r="B5" s="92"/>
      <c r="C5" s="485" t="s">
        <v>180</v>
      </c>
      <c r="D5" s="486"/>
      <c r="E5" s="481" t="s">
        <v>317</v>
      </c>
      <c r="F5" s="482"/>
      <c r="G5" s="33" t="s">
        <v>318</v>
      </c>
    </row>
    <row r="6" spans="1:7" ht="15.75">
      <c r="A6" s="138" t="str">
        <f>inputPrYr!B16</f>
        <v>General</v>
      </c>
      <c r="B6" s="138"/>
      <c r="C6" s="483">
        <f>G1-2</f>
        <v>2008</v>
      </c>
      <c r="D6" s="484"/>
      <c r="E6" s="483">
        <f>G1-1</f>
        <v>2009</v>
      </c>
      <c r="F6" s="484"/>
      <c r="G6" s="147">
        <f>G1</f>
        <v>2010</v>
      </c>
    </row>
    <row r="7" spans="1:7" ht="15.75">
      <c r="A7" s="306" t="s">
        <v>289</v>
      </c>
      <c r="B7" s="312"/>
      <c r="C7" s="487">
        <v>1208344</v>
      </c>
      <c r="D7" s="488"/>
      <c r="E7" s="461">
        <f>C107</f>
        <v>1252039.37</v>
      </c>
      <c r="F7" s="462"/>
      <c r="G7" s="85">
        <f>E107</f>
        <v>567300.3700000001</v>
      </c>
    </row>
    <row r="8" spans="1:7" ht="15.75">
      <c r="A8" s="311" t="s">
        <v>291</v>
      </c>
      <c r="B8" s="312"/>
      <c r="C8" s="463"/>
      <c r="D8" s="464"/>
      <c r="E8" s="463"/>
      <c r="F8" s="464"/>
      <c r="G8" s="40"/>
    </row>
    <row r="9" spans="1:7" ht="15.75">
      <c r="A9" s="306" t="s">
        <v>157</v>
      </c>
      <c r="B9" s="312"/>
      <c r="C9" s="455">
        <v>947475</v>
      </c>
      <c r="D9" s="456"/>
      <c r="E9" s="463">
        <f>inputPrYr!E16</f>
        <v>850434</v>
      </c>
      <c r="F9" s="464"/>
      <c r="G9" s="45" t="s">
        <v>144</v>
      </c>
    </row>
    <row r="10" spans="1:7" ht="15.75">
      <c r="A10" s="306" t="s">
        <v>158</v>
      </c>
      <c r="B10" s="312"/>
      <c r="C10" s="455">
        <v>21608.61</v>
      </c>
      <c r="D10" s="456"/>
      <c r="E10" s="455"/>
      <c r="F10" s="456"/>
      <c r="G10" s="13"/>
    </row>
    <row r="11" spans="1:7" ht="15.75">
      <c r="A11" s="306" t="s">
        <v>159</v>
      </c>
      <c r="B11" s="312"/>
      <c r="C11" s="455">
        <v>119063.73</v>
      </c>
      <c r="D11" s="456"/>
      <c r="E11" s="455">
        <v>118455</v>
      </c>
      <c r="F11" s="456"/>
      <c r="G11" s="40">
        <f>mvalloc!C7</f>
        <v>104075.84</v>
      </c>
    </row>
    <row r="12" spans="1:7" ht="15.75">
      <c r="A12" s="306" t="s">
        <v>160</v>
      </c>
      <c r="B12" s="312"/>
      <c r="C12" s="455">
        <f>225+1791</f>
        <v>2016</v>
      </c>
      <c r="D12" s="456"/>
      <c r="E12" s="455">
        <v>2114</v>
      </c>
      <c r="F12" s="456"/>
      <c r="G12" s="40">
        <f>mvalloc!D7</f>
        <v>1662.44</v>
      </c>
    </row>
    <row r="13" spans="1:7" ht="15.75">
      <c r="A13" s="306" t="s">
        <v>266</v>
      </c>
      <c r="B13" s="312"/>
      <c r="C13" s="455">
        <v>884.24</v>
      </c>
      <c r="D13" s="456"/>
      <c r="E13" s="455">
        <v>907</v>
      </c>
      <c r="F13" s="456"/>
      <c r="G13" s="40">
        <f>mvalloc!E7</f>
        <v>682.1099999999999</v>
      </c>
    </row>
    <row r="14" spans="1:7" ht="15.75">
      <c r="A14" s="306" t="s">
        <v>267</v>
      </c>
      <c r="B14" s="312"/>
      <c r="C14" s="455">
        <v>0</v>
      </c>
      <c r="D14" s="456"/>
      <c r="E14" s="455">
        <v>0</v>
      </c>
      <c r="F14" s="456"/>
      <c r="G14" s="40">
        <f>inputOth!E15</f>
        <v>0</v>
      </c>
    </row>
    <row r="15" spans="1:7" ht="15.75">
      <c r="A15" s="306" t="s">
        <v>335</v>
      </c>
      <c r="B15" s="312"/>
      <c r="C15" s="455">
        <v>0</v>
      </c>
      <c r="D15" s="456"/>
      <c r="E15" s="455">
        <v>0</v>
      </c>
      <c r="F15" s="456"/>
      <c r="G15" s="40">
        <f>inputOth!E40</f>
        <v>0</v>
      </c>
    </row>
    <row r="16" spans="1:7" ht="15.75">
      <c r="A16" s="306" t="s">
        <v>336</v>
      </c>
      <c r="B16" s="312"/>
      <c r="C16" s="455">
        <v>0</v>
      </c>
      <c r="D16" s="456"/>
      <c r="E16" s="455">
        <v>0</v>
      </c>
      <c r="F16" s="456"/>
      <c r="G16" s="40">
        <f>inputOth!E41</f>
        <v>0</v>
      </c>
    </row>
    <row r="17" spans="1:7" ht="15.75">
      <c r="A17" s="316" t="s">
        <v>337</v>
      </c>
      <c r="B17" s="312"/>
      <c r="C17" s="455">
        <v>0</v>
      </c>
      <c r="D17" s="456"/>
      <c r="E17" s="455">
        <v>6004</v>
      </c>
      <c r="F17" s="456"/>
      <c r="G17" s="40">
        <f>mvalloc!F7</f>
        <v>0</v>
      </c>
    </row>
    <row r="18" spans="1:7" ht="15.75">
      <c r="A18" s="321" t="s">
        <v>163</v>
      </c>
      <c r="B18" s="313"/>
      <c r="C18" s="455"/>
      <c r="D18" s="456"/>
      <c r="E18" s="455"/>
      <c r="F18" s="456"/>
      <c r="G18" s="13"/>
    </row>
    <row r="19" spans="1:7" ht="15.75">
      <c r="A19" s="321" t="s">
        <v>161</v>
      </c>
      <c r="B19" s="313"/>
      <c r="C19" s="455">
        <v>6352.67</v>
      </c>
      <c r="D19" s="456"/>
      <c r="E19" s="455">
        <v>5671</v>
      </c>
      <c r="F19" s="456"/>
      <c r="G19" s="13">
        <v>6768</v>
      </c>
    </row>
    <row r="20" spans="1:7" ht="15.75">
      <c r="A20" s="321" t="s">
        <v>162</v>
      </c>
      <c r="B20" s="313"/>
      <c r="C20" s="455">
        <v>3446.29</v>
      </c>
      <c r="D20" s="456"/>
      <c r="E20" s="455">
        <v>3000</v>
      </c>
      <c r="F20" s="456"/>
      <c r="G20" s="13">
        <v>3000</v>
      </c>
    </row>
    <row r="21" spans="1:7" ht="15.75">
      <c r="A21" s="321" t="s">
        <v>511</v>
      </c>
      <c r="B21" s="313"/>
      <c r="C21" s="455">
        <v>1047460.73</v>
      </c>
      <c r="D21" s="456"/>
      <c r="E21" s="455">
        <v>910000</v>
      </c>
      <c r="F21" s="456"/>
      <c r="G21" s="13">
        <v>910000</v>
      </c>
    </row>
    <row r="22" spans="1:7" ht="15.75">
      <c r="A22" s="321" t="s">
        <v>512</v>
      </c>
      <c r="B22" s="313"/>
      <c r="C22" s="455">
        <v>4247</v>
      </c>
      <c r="D22" s="456"/>
      <c r="E22" s="455">
        <v>4247</v>
      </c>
      <c r="F22" s="456"/>
      <c r="G22" s="13">
        <v>4247</v>
      </c>
    </row>
    <row r="23" spans="1:7" ht="15.75">
      <c r="A23" s="321" t="s">
        <v>513</v>
      </c>
      <c r="B23" s="313"/>
      <c r="C23" s="455">
        <v>400973.83</v>
      </c>
      <c r="D23" s="456"/>
      <c r="E23" s="455">
        <v>341214</v>
      </c>
      <c r="F23" s="456"/>
      <c r="G23" s="13">
        <v>341214</v>
      </c>
    </row>
    <row r="24" spans="1:7" ht="15.75">
      <c r="A24" s="321" t="s">
        <v>514</v>
      </c>
      <c r="B24" s="313"/>
      <c r="C24" s="455">
        <v>5970</v>
      </c>
      <c r="D24" s="456"/>
      <c r="E24" s="455">
        <v>2000</v>
      </c>
      <c r="F24" s="456"/>
      <c r="G24" s="13">
        <v>2000</v>
      </c>
    </row>
    <row r="25" spans="1:7" ht="15.75">
      <c r="A25" s="321" t="s">
        <v>515</v>
      </c>
      <c r="B25" s="313"/>
      <c r="C25" s="455">
        <v>31642.04</v>
      </c>
      <c r="D25" s="456"/>
      <c r="E25" s="455">
        <v>18000</v>
      </c>
      <c r="F25" s="456"/>
      <c r="G25" s="13">
        <v>18000</v>
      </c>
    </row>
    <row r="26" spans="1:7" ht="15.75">
      <c r="A26" s="321" t="s">
        <v>516</v>
      </c>
      <c r="B26" s="313"/>
      <c r="C26" s="455">
        <v>29837.5</v>
      </c>
      <c r="D26" s="456"/>
      <c r="E26" s="455">
        <v>24359</v>
      </c>
      <c r="F26" s="456"/>
      <c r="G26" s="13">
        <v>24359</v>
      </c>
    </row>
    <row r="27" spans="1:7" ht="15.75">
      <c r="A27" s="321" t="s">
        <v>517</v>
      </c>
      <c r="B27" s="313"/>
      <c r="C27" s="455">
        <v>129864.06</v>
      </c>
      <c r="D27" s="456"/>
      <c r="E27" s="455">
        <v>95000</v>
      </c>
      <c r="F27" s="456"/>
      <c r="G27" s="13">
        <v>100000</v>
      </c>
    </row>
    <row r="28" spans="1:7" ht="15.75">
      <c r="A28" s="321" t="s">
        <v>518</v>
      </c>
      <c r="B28" s="313"/>
      <c r="C28" s="455">
        <v>1700</v>
      </c>
      <c r="D28" s="456"/>
      <c r="E28" s="455">
        <v>1500</v>
      </c>
      <c r="F28" s="456"/>
      <c r="G28" s="13">
        <v>1500</v>
      </c>
    </row>
    <row r="29" spans="1:7" ht="15.75">
      <c r="A29" s="321" t="s">
        <v>519</v>
      </c>
      <c r="B29" s="313"/>
      <c r="C29" s="455">
        <v>8927</v>
      </c>
      <c r="D29" s="456"/>
      <c r="E29" s="455">
        <v>6000</v>
      </c>
      <c r="F29" s="456"/>
      <c r="G29" s="13">
        <v>6000</v>
      </c>
    </row>
    <row r="30" spans="1:7" ht="15.75">
      <c r="A30" s="321" t="s">
        <v>520</v>
      </c>
      <c r="B30" s="313"/>
      <c r="C30" s="455">
        <v>620</v>
      </c>
      <c r="D30" s="456"/>
      <c r="E30" s="455">
        <v>0</v>
      </c>
      <c r="F30" s="456"/>
      <c r="G30" s="13">
        <v>0</v>
      </c>
    </row>
    <row r="31" spans="1:7" ht="15.75">
      <c r="A31" s="321" t="s">
        <v>521</v>
      </c>
      <c r="B31" s="313"/>
      <c r="C31" s="455">
        <v>697</v>
      </c>
      <c r="D31" s="456"/>
      <c r="E31" s="455">
        <v>500</v>
      </c>
      <c r="F31" s="456"/>
      <c r="G31" s="13">
        <v>500</v>
      </c>
    </row>
    <row r="32" spans="1:7" ht="15.75">
      <c r="A32" s="321" t="s">
        <v>522</v>
      </c>
      <c r="B32" s="313"/>
      <c r="C32" s="455">
        <v>15000</v>
      </c>
      <c r="D32" s="456"/>
      <c r="E32" s="455">
        <v>15000</v>
      </c>
      <c r="F32" s="456"/>
      <c r="G32" s="13">
        <v>15000</v>
      </c>
    </row>
    <row r="33" spans="1:7" ht="15.75">
      <c r="A33" s="321" t="s">
        <v>523</v>
      </c>
      <c r="B33" s="313"/>
      <c r="C33" s="455">
        <v>14710.9</v>
      </c>
      <c r="D33" s="456"/>
      <c r="E33" s="455">
        <v>9000</v>
      </c>
      <c r="F33" s="456"/>
      <c r="G33" s="13">
        <v>9000</v>
      </c>
    </row>
    <row r="34" spans="1:7" ht="15.75">
      <c r="A34" s="321" t="s">
        <v>524</v>
      </c>
      <c r="B34" s="313"/>
      <c r="C34" s="455">
        <v>6885</v>
      </c>
      <c r="D34" s="456"/>
      <c r="E34" s="455">
        <v>0</v>
      </c>
      <c r="F34" s="456"/>
      <c r="G34" s="13">
        <v>0</v>
      </c>
    </row>
    <row r="35" spans="1:7" ht="15.75">
      <c r="A35" s="321" t="s">
        <v>525</v>
      </c>
      <c r="B35" s="313"/>
      <c r="C35" s="455">
        <v>2010</v>
      </c>
      <c r="D35" s="456"/>
      <c r="E35" s="455">
        <v>3000</v>
      </c>
      <c r="F35" s="456"/>
      <c r="G35" s="13">
        <v>3000</v>
      </c>
    </row>
    <row r="36" spans="1:7" ht="15.75">
      <c r="A36" s="321" t="s">
        <v>526</v>
      </c>
      <c r="B36" s="313"/>
      <c r="C36" s="455">
        <f>3207+12944</f>
        <v>16151</v>
      </c>
      <c r="D36" s="456"/>
      <c r="E36" s="455">
        <v>13500</v>
      </c>
      <c r="F36" s="456"/>
      <c r="G36" s="13">
        <f>4500+9000</f>
        <v>13500</v>
      </c>
    </row>
    <row r="37" spans="1:7" ht="15.75">
      <c r="A37" s="321" t="s">
        <v>527</v>
      </c>
      <c r="B37" s="313"/>
      <c r="C37" s="455">
        <v>3860</v>
      </c>
      <c r="D37" s="456"/>
      <c r="E37" s="455">
        <v>3000</v>
      </c>
      <c r="F37" s="456"/>
      <c r="G37" s="13">
        <v>3000</v>
      </c>
    </row>
    <row r="38" spans="1:7" ht="15.75">
      <c r="A38" s="321" t="s">
        <v>528</v>
      </c>
      <c r="B38" s="313"/>
      <c r="C38" s="455">
        <v>2041.25</v>
      </c>
      <c r="D38" s="456"/>
      <c r="E38" s="455">
        <v>500</v>
      </c>
      <c r="F38" s="456"/>
      <c r="G38" s="13">
        <v>500</v>
      </c>
    </row>
    <row r="39" spans="1:7" ht="15.75">
      <c r="A39" s="321" t="s">
        <v>529</v>
      </c>
      <c r="B39" s="313"/>
      <c r="C39" s="455">
        <v>2873.5</v>
      </c>
      <c r="D39" s="456"/>
      <c r="E39" s="455">
        <v>1500</v>
      </c>
      <c r="F39" s="456"/>
      <c r="G39" s="13">
        <v>1500</v>
      </c>
    </row>
    <row r="40" spans="1:7" ht="15.75">
      <c r="A40" s="321" t="s">
        <v>530</v>
      </c>
      <c r="B40" s="313"/>
      <c r="C40" s="455">
        <v>0</v>
      </c>
      <c r="D40" s="456"/>
      <c r="E40" s="455">
        <v>0</v>
      </c>
      <c r="F40" s="456"/>
      <c r="G40" s="13">
        <v>0</v>
      </c>
    </row>
    <row r="41" spans="1:7" ht="15.75">
      <c r="A41" s="321" t="s">
        <v>691</v>
      </c>
      <c r="B41" s="313"/>
      <c r="C41" s="455">
        <v>0</v>
      </c>
      <c r="D41" s="456"/>
      <c r="E41" s="455">
        <v>30865</v>
      </c>
      <c r="F41" s="456"/>
      <c r="G41" s="13">
        <v>101646</v>
      </c>
    </row>
    <row r="42" spans="1:7" ht="15.75">
      <c r="A42" s="321" t="s">
        <v>531</v>
      </c>
      <c r="B42" s="313"/>
      <c r="C42" s="455">
        <v>275</v>
      </c>
      <c r="D42" s="456"/>
      <c r="E42" s="455">
        <v>300</v>
      </c>
      <c r="F42" s="456"/>
      <c r="G42" s="13">
        <v>300</v>
      </c>
    </row>
    <row r="43" spans="1:7" ht="15.75">
      <c r="A43" s="321" t="s">
        <v>532</v>
      </c>
      <c r="B43" s="313"/>
      <c r="C43" s="453">
        <v>123226.19</v>
      </c>
      <c r="D43" s="454"/>
      <c r="E43" s="453">
        <v>106500</v>
      </c>
      <c r="F43" s="454"/>
      <c r="G43" s="13">
        <v>106500</v>
      </c>
    </row>
    <row r="44" spans="1:7" ht="15.75">
      <c r="A44" s="321" t="s">
        <v>533</v>
      </c>
      <c r="B44" s="313"/>
      <c r="C44" s="453">
        <v>36969</v>
      </c>
      <c r="D44" s="454"/>
      <c r="E44" s="453">
        <v>60000</v>
      </c>
      <c r="F44" s="454"/>
      <c r="G44" s="13">
        <v>60000</v>
      </c>
    </row>
    <row r="45" spans="1:7" ht="15.75">
      <c r="A45" s="321" t="s">
        <v>534</v>
      </c>
      <c r="B45" s="313"/>
      <c r="C45" s="453">
        <v>1125</v>
      </c>
      <c r="D45" s="454"/>
      <c r="E45" s="453">
        <v>500</v>
      </c>
      <c r="F45" s="454"/>
      <c r="G45" s="13">
        <v>500</v>
      </c>
    </row>
    <row r="46" spans="1:7" ht="15.75">
      <c r="A46" s="321" t="s">
        <v>535</v>
      </c>
      <c r="B46" s="313"/>
      <c r="C46" s="453">
        <v>2503.36</v>
      </c>
      <c r="D46" s="454"/>
      <c r="E46" s="453">
        <v>0</v>
      </c>
      <c r="F46" s="454"/>
      <c r="G46" s="13">
        <v>0</v>
      </c>
    </row>
    <row r="47" spans="1:7" ht="15.75">
      <c r="A47" s="321" t="s">
        <v>536</v>
      </c>
      <c r="B47" s="313"/>
      <c r="C47" s="453">
        <v>0</v>
      </c>
      <c r="D47" s="454"/>
      <c r="E47" s="453">
        <v>5000</v>
      </c>
      <c r="F47" s="454"/>
      <c r="G47" s="13">
        <v>5000</v>
      </c>
    </row>
    <row r="48" spans="1:7" ht="15.75">
      <c r="A48" s="321" t="s">
        <v>537</v>
      </c>
      <c r="B48" s="313"/>
      <c r="C48" s="453">
        <v>0</v>
      </c>
      <c r="D48" s="454"/>
      <c r="E48" s="453">
        <v>5000</v>
      </c>
      <c r="F48" s="454"/>
      <c r="G48" s="13">
        <v>5000</v>
      </c>
    </row>
    <row r="49" spans="1:8" ht="25.5" customHeight="1">
      <c r="A49" s="415" t="s">
        <v>769</v>
      </c>
      <c r="B49" s="415"/>
      <c r="C49" s="455"/>
      <c r="D49" s="456"/>
      <c r="E49" s="455"/>
      <c r="F49" s="456"/>
      <c r="G49" s="414">
        <v>167127</v>
      </c>
      <c r="H49" s="416" t="s">
        <v>770</v>
      </c>
    </row>
    <row r="50" spans="1:7" ht="15.75">
      <c r="A50" s="321" t="s">
        <v>794</v>
      </c>
      <c r="B50" s="313"/>
      <c r="C50" s="455">
        <v>-2140</v>
      </c>
      <c r="D50" s="456"/>
      <c r="E50" s="455"/>
      <c r="F50" s="456"/>
      <c r="G50" s="13"/>
    </row>
    <row r="51" spans="1:7" ht="15.75">
      <c r="A51" s="307" t="s">
        <v>164</v>
      </c>
      <c r="B51" s="313"/>
      <c r="C51" s="455">
        <v>71277.51</v>
      </c>
      <c r="D51" s="456"/>
      <c r="E51" s="455">
        <v>25000</v>
      </c>
      <c r="F51" s="456"/>
      <c r="G51" s="13">
        <v>25000</v>
      </c>
    </row>
    <row r="52" spans="1:7" ht="15.75">
      <c r="A52" s="316" t="s">
        <v>26</v>
      </c>
      <c r="B52" s="312"/>
      <c r="C52" s="455">
        <v>236388</v>
      </c>
      <c r="D52" s="456"/>
      <c r="E52" s="455">
        <v>42000</v>
      </c>
      <c r="F52" s="456"/>
      <c r="G52" s="299">
        <v>20000</v>
      </c>
    </row>
    <row r="53" spans="1:7" ht="15.75">
      <c r="A53" s="306" t="s">
        <v>28</v>
      </c>
      <c r="B53" s="312"/>
      <c r="C53" s="475">
        <f>IF(C54*0.1&lt;C52,"Exceed 10% Rule","")</f>
      </c>
      <c r="D53" s="476"/>
      <c r="E53" s="475">
        <f>IF(E54*0.1&lt;E52,"Exceed 10% Rule","")</f>
      </c>
      <c r="F53" s="476"/>
      <c r="G53" s="348">
        <f>IF(G54*0.1+G112&lt;G52,"Exceed 10% Rule","")</f>
      </c>
    </row>
    <row r="54" spans="1:7" ht="15.75">
      <c r="A54" s="153" t="s">
        <v>165</v>
      </c>
      <c r="B54" s="312"/>
      <c r="C54" s="477">
        <f>SUM(C9:C52)</f>
        <v>3295941.4099999997</v>
      </c>
      <c r="D54" s="478"/>
      <c r="E54" s="477">
        <f>SUM(E9:E52)</f>
        <v>2710070</v>
      </c>
      <c r="F54" s="478"/>
      <c r="G54" s="260">
        <f>SUM(G10:G52)</f>
        <v>2060581.3900000001</v>
      </c>
    </row>
    <row r="55" spans="1:7" ht="15.75">
      <c r="A55" s="153" t="s">
        <v>166</v>
      </c>
      <c r="B55" s="312"/>
      <c r="C55" s="479">
        <f>C7+C54</f>
        <v>4504285.41</v>
      </c>
      <c r="D55" s="480"/>
      <c r="E55" s="479">
        <f>E7+E54</f>
        <v>3962109.37</v>
      </c>
      <c r="F55" s="480"/>
      <c r="G55" s="263">
        <f>G7+G54</f>
        <v>2627881.7600000002</v>
      </c>
    </row>
    <row r="56" spans="1:7" ht="15.75">
      <c r="A56" s="21"/>
      <c r="B56" s="21"/>
      <c r="C56" s="21"/>
      <c r="D56" s="21"/>
      <c r="E56" s="21"/>
      <c r="F56" s="21"/>
      <c r="G56" s="21"/>
    </row>
    <row r="57" spans="1:7" ht="15.75">
      <c r="A57" s="437" t="s">
        <v>299</v>
      </c>
      <c r="B57" s="437"/>
      <c r="C57" s="437"/>
      <c r="D57" s="437"/>
      <c r="E57" s="437"/>
      <c r="F57" s="437"/>
      <c r="G57" s="437"/>
    </row>
    <row r="58" spans="1:7" ht="15.75">
      <c r="A58" s="133"/>
      <c r="B58" s="133"/>
      <c r="C58" s="133"/>
      <c r="D58" s="133"/>
      <c r="E58" s="133"/>
      <c r="F58" s="133"/>
      <c r="G58" s="133"/>
    </row>
    <row r="59" spans="1:7" ht="15.75">
      <c r="A59" s="72" t="str">
        <f>inputPrYr!D2</f>
        <v>CITY OF PARK CITY</v>
      </c>
      <c r="B59" s="72"/>
      <c r="C59" s="21"/>
      <c r="D59" s="21"/>
      <c r="E59" s="21"/>
      <c r="F59" s="21"/>
      <c r="G59" s="24"/>
    </row>
    <row r="60" spans="1:7" ht="15.75">
      <c r="A60" s="21"/>
      <c r="B60" s="21"/>
      <c r="C60" s="21"/>
      <c r="D60" s="21"/>
      <c r="E60" s="21"/>
      <c r="F60" s="21"/>
      <c r="G60" s="23"/>
    </row>
    <row r="61" spans="1:7" ht="15.75">
      <c r="A61" s="89" t="s">
        <v>232</v>
      </c>
      <c r="B61" s="89"/>
      <c r="C61" s="87"/>
      <c r="D61" s="87"/>
      <c r="E61" s="87"/>
      <c r="F61" s="87"/>
      <c r="G61" s="87"/>
    </row>
    <row r="62" spans="1:7" ht="15.75">
      <c r="A62" s="21" t="s">
        <v>156</v>
      </c>
      <c r="B62" s="21"/>
      <c r="C62" s="485" t="s">
        <v>180</v>
      </c>
      <c r="D62" s="486"/>
      <c r="E62" s="481" t="s">
        <v>317</v>
      </c>
      <c r="F62" s="482"/>
      <c r="G62" s="33" t="s">
        <v>318</v>
      </c>
    </row>
    <row r="63" spans="1:7" ht="15.75">
      <c r="A63" s="138" t="str">
        <f>inputPrYr!B16</f>
        <v>General</v>
      </c>
      <c r="B63" s="138"/>
      <c r="C63" s="483">
        <f>C6</f>
        <v>2008</v>
      </c>
      <c r="D63" s="484"/>
      <c r="E63" s="483">
        <f>E6</f>
        <v>2009</v>
      </c>
      <c r="F63" s="484"/>
      <c r="G63" s="147">
        <f>G6</f>
        <v>2010</v>
      </c>
    </row>
    <row r="64" spans="1:7" ht="15.75">
      <c r="A64" s="322" t="s">
        <v>166</v>
      </c>
      <c r="B64" s="323"/>
      <c r="C64" s="461">
        <f>C55</f>
        <v>4504285.41</v>
      </c>
      <c r="D64" s="462"/>
      <c r="E64" s="461">
        <f>E55</f>
        <v>3962109.37</v>
      </c>
      <c r="F64" s="462"/>
      <c r="G64" s="85">
        <f>G55</f>
        <v>2627881.7600000002</v>
      </c>
    </row>
    <row r="65" spans="1:7" ht="15.75">
      <c r="A65" s="311" t="s">
        <v>168</v>
      </c>
      <c r="B65" s="323"/>
      <c r="C65" s="463"/>
      <c r="D65" s="464"/>
      <c r="E65" s="463"/>
      <c r="F65" s="464"/>
      <c r="G65" s="40"/>
    </row>
    <row r="66" spans="1:7" ht="15.75">
      <c r="A66" s="306">
        <f>GenDetail!A43</f>
        <v>0</v>
      </c>
      <c r="B66" s="323"/>
      <c r="C66" s="457">
        <f>GenDetail!B49</f>
        <v>0</v>
      </c>
      <c r="D66" s="458"/>
      <c r="E66" s="457">
        <f>GenDetail!C49</f>
        <v>0</v>
      </c>
      <c r="F66" s="458"/>
      <c r="G66" s="390">
        <f>GenDetail!D49</f>
        <v>0</v>
      </c>
    </row>
    <row r="67" spans="1:7" ht="15.75">
      <c r="A67" s="388" t="s">
        <v>79</v>
      </c>
      <c r="B67" s="391"/>
      <c r="C67" s="459">
        <f>SUM(C66:D66)</f>
        <v>0</v>
      </c>
      <c r="D67" s="460"/>
      <c r="E67" s="459">
        <f>SUM(E66:F66)</f>
        <v>0</v>
      </c>
      <c r="F67" s="460"/>
      <c r="G67" s="384">
        <f>SUM(G66:G66)</f>
        <v>0</v>
      </c>
    </row>
    <row r="68" spans="1:7" ht="15.75">
      <c r="A68" s="307" t="s">
        <v>538</v>
      </c>
      <c r="B68" s="324"/>
      <c r="C68" s="455">
        <f>446688-C69</f>
        <v>431188</v>
      </c>
      <c r="D68" s="456"/>
      <c r="E68" s="455">
        <v>476732</v>
      </c>
      <c r="F68" s="456"/>
      <c r="G68" s="13">
        <f>484020-G69</f>
        <v>479020</v>
      </c>
    </row>
    <row r="69" spans="1:7" ht="15.75">
      <c r="A69" s="307" t="s">
        <v>539</v>
      </c>
      <c r="B69" s="324"/>
      <c r="C69" s="455">
        <v>15500</v>
      </c>
      <c r="D69" s="456"/>
      <c r="E69" s="455">
        <v>5000</v>
      </c>
      <c r="F69" s="456"/>
      <c r="G69" s="13">
        <v>5000</v>
      </c>
    </row>
    <row r="70" spans="1:7" ht="15.75">
      <c r="A70" s="307" t="s">
        <v>540</v>
      </c>
      <c r="B70" s="324"/>
      <c r="C70" s="455">
        <v>109959.66</v>
      </c>
      <c r="D70" s="456"/>
      <c r="E70" s="455">
        <v>116928</v>
      </c>
      <c r="F70" s="456"/>
      <c r="G70" s="13">
        <f>128713-G71</f>
        <v>123681</v>
      </c>
    </row>
    <row r="71" spans="1:7" ht="15.75">
      <c r="A71" s="307" t="s">
        <v>772</v>
      </c>
      <c r="B71" s="324"/>
      <c r="C71" s="372"/>
      <c r="D71" s="404"/>
      <c r="E71" s="372"/>
      <c r="F71" s="404"/>
      <c r="G71" s="13">
        <v>5032</v>
      </c>
    </row>
    <row r="72" spans="1:7" ht="15.75">
      <c r="A72" s="307" t="s">
        <v>147</v>
      </c>
      <c r="B72" s="324"/>
      <c r="C72" s="455">
        <f>403944-C73-C74</f>
        <v>245500</v>
      </c>
      <c r="D72" s="456"/>
      <c r="E72" s="455">
        <v>281450</v>
      </c>
      <c r="F72" s="456"/>
      <c r="G72" s="13">
        <f>260074-G73-G74</f>
        <v>250074</v>
      </c>
    </row>
    <row r="73" spans="1:7" ht="15.75">
      <c r="A73" s="307" t="s">
        <v>541</v>
      </c>
      <c r="B73" s="324"/>
      <c r="C73" s="455">
        <v>10000</v>
      </c>
      <c r="D73" s="456"/>
      <c r="E73" s="455">
        <v>50000</v>
      </c>
      <c r="F73" s="456"/>
      <c r="G73" s="13">
        <v>10000</v>
      </c>
    </row>
    <row r="74" spans="1:7" ht="15.75">
      <c r="A74" s="307" t="s">
        <v>542</v>
      </c>
      <c r="B74" s="324"/>
      <c r="C74" s="455">
        <v>148444</v>
      </c>
      <c r="D74" s="456"/>
      <c r="E74" s="455">
        <v>0</v>
      </c>
      <c r="F74" s="456"/>
      <c r="G74" s="13">
        <v>0</v>
      </c>
    </row>
    <row r="75" spans="1:7" ht="15.75">
      <c r="A75" s="296" t="s">
        <v>543</v>
      </c>
      <c r="B75" s="324"/>
      <c r="C75" s="455">
        <v>52931.74</v>
      </c>
      <c r="D75" s="456"/>
      <c r="E75" s="455">
        <v>58528</v>
      </c>
      <c r="F75" s="456"/>
      <c r="G75" s="13">
        <v>60883</v>
      </c>
    </row>
    <row r="76" spans="1:7" ht="15.75">
      <c r="A76" s="296" t="s">
        <v>544</v>
      </c>
      <c r="B76" s="324"/>
      <c r="C76" s="455">
        <f>1121135.7-C77</f>
        <v>1121135.7</v>
      </c>
      <c r="D76" s="456"/>
      <c r="E76" s="455">
        <v>1228567</v>
      </c>
      <c r="F76" s="456"/>
      <c r="G76" s="13">
        <f>1279464-G77</f>
        <v>1279464</v>
      </c>
    </row>
    <row r="77" spans="1:7" ht="15.75">
      <c r="A77" s="296" t="s">
        <v>545</v>
      </c>
      <c r="B77" s="324"/>
      <c r="C77" s="455">
        <v>0</v>
      </c>
      <c r="D77" s="456"/>
      <c r="E77" s="455">
        <v>0</v>
      </c>
      <c r="F77" s="456"/>
      <c r="G77" s="13">
        <v>0</v>
      </c>
    </row>
    <row r="78" spans="1:7" ht="15.75">
      <c r="A78" s="296" t="s">
        <v>546</v>
      </c>
      <c r="B78" s="324"/>
      <c r="C78" s="455">
        <f>172146-C79</f>
        <v>169946</v>
      </c>
      <c r="D78" s="456"/>
      <c r="E78" s="455">
        <v>175573</v>
      </c>
      <c r="F78" s="456"/>
      <c r="G78" s="13">
        <f>184791-G79</f>
        <v>180706</v>
      </c>
    </row>
    <row r="79" spans="1:7" ht="15.75">
      <c r="A79" s="296" t="s">
        <v>547</v>
      </c>
      <c r="B79" s="324"/>
      <c r="C79" s="455">
        <v>2200</v>
      </c>
      <c r="D79" s="456"/>
      <c r="E79" s="455">
        <v>5098</v>
      </c>
      <c r="F79" s="456"/>
      <c r="G79" s="13">
        <v>4085</v>
      </c>
    </row>
    <row r="80" spans="1:7" ht="15.75">
      <c r="A80" s="296" t="s">
        <v>548</v>
      </c>
      <c r="B80" s="324"/>
      <c r="C80" s="455">
        <v>61234.25</v>
      </c>
      <c r="D80" s="456"/>
      <c r="E80" s="455">
        <v>88189</v>
      </c>
      <c r="F80" s="456"/>
      <c r="G80" s="13">
        <v>89466</v>
      </c>
    </row>
    <row r="81" spans="1:7" ht="15.75">
      <c r="A81" s="296" t="s">
        <v>549</v>
      </c>
      <c r="B81" s="324"/>
      <c r="C81" s="455">
        <v>43006</v>
      </c>
      <c r="D81" s="456"/>
      <c r="E81" s="455">
        <v>51398</v>
      </c>
      <c r="F81" s="456"/>
      <c r="G81" s="13">
        <v>55528</v>
      </c>
    </row>
    <row r="82" spans="1:7" ht="15.75">
      <c r="A82" s="296" t="s">
        <v>550</v>
      </c>
      <c r="B82" s="324"/>
      <c r="C82" s="455">
        <f>26040.07-C83</f>
        <v>23540.07</v>
      </c>
      <c r="D82" s="456"/>
      <c r="E82" s="455">
        <v>26616</v>
      </c>
      <c r="F82" s="456"/>
      <c r="G82" s="13">
        <f>33194-G83</f>
        <v>26194</v>
      </c>
    </row>
    <row r="83" spans="1:7" ht="15.75">
      <c r="A83" s="296" t="s">
        <v>551</v>
      </c>
      <c r="B83" s="324"/>
      <c r="C83" s="455">
        <v>2500</v>
      </c>
      <c r="D83" s="456"/>
      <c r="E83" s="455">
        <v>6000</v>
      </c>
      <c r="F83" s="456"/>
      <c r="G83" s="13">
        <v>7000</v>
      </c>
    </row>
    <row r="84" spans="1:7" ht="15.75">
      <c r="A84" s="296" t="s">
        <v>552</v>
      </c>
      <c r="B84" s="324"/>
      <c r="C84" s="455">
        <v>51990.2</v>
      </c>
      <c r="D84" s="456"/>
      <c r="E84" s="455">
        <v>60000</v>
      </c>
      <c r="F84" s="456"/>
      <c r="G84" s="13">
        <v>60000</v>
      </c>
    </row>
    <row r="85" spans="1:7" ht="15.75">
      <c r="A85" s="296" t="s">
        <v>553</v>
      </c>
      <c r="B85" s="324"/>
      <c r="C85" s="455">
        <f>223968.95-C86-C87</f>
        <v>194968.95</v>
      </c>
      <c r="D85" s="456"/>
      <c r="E85" s="455">
        <v>233508</v>
      </c>
      <c r="F85" s="456"/>
      <c r="G85" s="13">
        <f>237631-G86-G87</f>
        <v>233631</v>
      </c>
    </row>
    <row r="86" spans="1:7" ht="15.75">
      <c r="A86" s="296" t="s">
        <v>554</v>
      </c>
      <c r="B86" s="324"/>
      <c r="C86" s="455">
        <v>4000</v>
      </c>
      <c r="D86" s="456"/>
      <c r="E86" s="455">
        <v>4000</v>
      </c>
      <c r="F86" s="456"/>
      <c r="G86" s="13">
        <v>4000</v>
      </c>
    </row>
    <row r="87" spans="1:7" ht="15.75">
      <c r="A87" s="296" t="s">
        <v>716</v>
      </c>
      <c r="B87" s="324"/>
      <c r="C87" s="453">
        <v>25000</v>
      </c>
      <c r="D87" s="454"/>
      <c r="E87" s="372"/>
      <c r="F87" s="404">
        <v>0</v>
      </c>
      <c r="G87" s="13">
        <v>0</v>
      </c>
    </row>
    <row r="88" spans="1:7" ht="15.75">
      <c r="A88" s="296" t="s">
        <v>555</v>
      </c>
      <c r="B88" s="324"/>
      <c r="C88" s="455">
        <f>29497-D89-C90</f>
        <v>16897</v>
      </c>
      <c r="D88" s="456"/>
      <c r="E88" s="455">
        <v>23000</v>
      </c>
      <c r="F88" s="456"/>
      <c r="G88" s="13">
        <f>31600-G89-G90</f>
        <v>23000</v>
      </c>
    </row>
    <row r="89" spans="1:7" ht="15.75">
      <c r="A89" s="296" t="s">
        <v>715</v>
      </c>
      <c r="B89" s="324"/>
      <c r="C89" s="372"/>
      <c r="D89" s="404">
        <v>4000</v>
      </c>
      <c r="E89" s="372"/>
      <c r="F89" s="404"/>
      <c r="G89" s="13">
        <v>0</v>
      </c>
    </row>
    <row r="90" spans="1:7" ht="15.75">
      <c r="A90" s="296" t="s">
        <v>556</v>
      </c>
      <c r="B90" s="324"/>
      <c r="C90" s="455">
        <v>8600</v>
      </c>
      <c r="D90" s="456"/>
      <c r="E90" s="455">
        <v>8600</v>
      </c>
      <c r="F90" s="456"/>
      <c r="G90" s="13">
        <v>8600</v>
      </c>
    </row>
    <row r="91" spans="1:7" ht="15.75">
      <c r="A91" s="296" t="s">
        <v>557</v>
      </c>
      <c r="B91" s="324"/>
      <c r="C91" s="455">
        <f>45264+3956.84</f>
        <v>49220.84</v>
      </c>
      <c r="D91" s="456"/>
      <c r="E91" s="455">
        <v>79593</v>
      </c>
      <c r="F91" s="456"/>
      <c r="G91" s="13">
        <v>79490</v>
      </c>
    </row>
    <row r="92" spans="1:7" ht="15.75">
      <c r="A92" s="296" t="s">
        <v>558</v>
      </c>
      <c r="B92" s="324"/>
      <c r="C92" s="455"/>
      <c r="D92" s="456"/>
      <c r="E92" s="455">
        <v>0</v>
      </c>
      <c r="F92" s="456"/>
      <c r="G92" s="13">
        <v>0</v>
      </c>
    </row>
    <row r="93" spans="1:7" ht="15.75">
      <c r="A93" s="296" t="s">
        <v>559</v>
      </c>
      <c r="B93" s="324"/>
      <c r="C93" s="455">
        <v>3925.3</v>
      </c>
      <c r="D93" s="456"/>
      <c r="E93" s="455">
        <v>6965</v>
      </c>
      <c r="F93" s="456"/>
      <c r="G93" s="13">
        <v>7340</v>
      </c>
    </row>
    <row r="94" spans="1:7" ht="15.75">
      <c r="A94" s="296" t="s">
        <v>560</v>
      </c>
      <c r="B94" s="324"/>
      <c r="C94" s="455">
        <f>407557.13-C95-C96</f>
        <v>355157.13</v>
      </c>
      <c r="D94" s="456"/>
      <c r="E94" s="455">
        <v>335479</v>
      </c>
      <c r="F94" s="456"/>
      <c r="G94" s="13">
        <f>366870-G95-G96</f>
        <v>347070</v>
      </c>
    </row>
    <row r="95" spans="1:7" ht="15.75">
      <c r="A95" s="296" t="s">
        <v>561</v>
      </c>
      <c r="B95" s="324"/>
      <c r="C95" s="455">
        <v>5000</v>
      </c>
      <c r="D95" s="456"/>
      <c r="E95" s="455">
        <v>5000</v>
      </c>
      <c r="F95" s="456"/>
      <c r="G95" s="13">
        <v>5000</v>
      </c>
    </row>
    <row r="96" spans="1:7" ht="15.75">
      <c r="A96" s="296" t="s">
        <v>562</v>
      </c>
      <c r="B96" s="324"/>
      <c r="C96" s="455">
        <v>47400</v>
      </c>
      <c r="D96" s="456"/>
      <c r="E96" s="455">
        <v>14800</v>
      </c>
      <c r="F96" s="456"/>
      <c r="G96" s="13">
        <v>14800</v>
      </c>
    </row>
    <row r="97" spans="1:7" ht="15.75">
      <c r="A97" s="296" t="s">
        <v>563</v>
      </c>
      <c r="B97" s="324"/>
      <c r="C97" s="455">
        <f>44427.2-C98</f>
        <v>42427.2</v>
      </c>
      <c r="D97" s="456"/>
      <c r="E97" s="455">
        <v>46463</v>
      </c>
      <c r="F97" s="456"/>
      <c r="G97" s="13">
        <f>51871-G98</f>
        <v>49871</v>
      </c>
    </row>
    <row r="98" spans="1:7" ht="15.75">
      <c r="A98" s="296" t="s">
        <v>564</v>
      </c>
      <c r="B98" s="324"/>
      <c r="C98" s="455">
        <v>2000</v>
      </c>
      <c r="D98" s="456"/>
      <c r="E98" s="455">
        <v>2000</v>
      </c>
      <c r="F98" s="456"/>
      <c r="G98" s="13">
        <v>2000</v>
      </c>
    </row>
    <row r="99" spans="1:7" ht="15.75">
      <c r="A99" s="296" t="s">
        <v>565</v>
      </c>
      <c r="B99" s="324"/>
      <c r="C99" s="455">
        <v>152</v>
      </c>
      <c r="D99" s="456"/>
      <c r="E99" s="455">
        <v>500</v>
      </c>
      <c r="F99" s="456"/>
      <c r="G99" s="13">
        <v>500</v>
      </c>
    </row>
    <row r="100" spans="1:7" ht="15.75">
      <c r="A100" s="296" t="s">
        <v>566</v>
      </c>
      <c r="B100" s="324"/>
      <c r="C100" s="455">
        <v>4422</v>
      </c>
      <c r="D100" s="456"/>
      <c r="E100" s="455">
        <v>4822</v>
      </c>
      <c r="F100" s="456"/>
      <c r="G100" s="13">
        <v>4729</v>
      </c>
    </row>
    <row r="101" spans="1:7" ht="15.75">
      <c r="A101" s="296" t="s">
        <v>567</v>
      </c>
      <c r="B101" s="324"/>
      <c r="C101" s="453">
        <f>-C98-C96-C95-C92-C90-D89-C87-C86-C83-C79-C77-C74-C73-C69</f>
        <v>-274644</v>
      </c>
      <c r="D101" s="454"/>
      <c r="E101" s="453">
        <v>100498</v>
      </c>
      <c r="F101" s="454"/>
      <c r="G101" s="13">
        <f>G69+G71+G73+G74++++G77+G79+G83+G86+G87+G89+G90+G92+G95+G96+G98</f>
        <v>65517</v>
      </c>
    </row>
    <row r="102" spans="1:7" ht="15.75">
      <c r="A102" s="296" t="s">
        <v>568</v>
      </c>
      <c r="B102" s="324"/>
      <c r="C102" s="455">
        <v>274644</v>
      </c>
      <c r="D102" s="456"/>
      <c r="E102" s="455">
        <v>-100498</v>
      </c>
      <c r="F102" s="456"/>
      <c r="G102" s="13">
        <f>-G101</f>
        <v>-65517</v>
      </c>
    </row>
    <row r="103" spans="1:7" ht="15.75">
      <c r="A103" s="314" t="s">
        <v>25</v>
      </c>
      <c r="B103" s="312"/>
      <c r="C103" s="455"/>
      <c r="D103" s="456"/>
      <c r="E103" s="455"/>
      <c r="F103" s="456"/>
      <c r="G103" s="258">
        <f>nhood!E6</f>
      </c>
    </row>
    <row r="104" spans="1:7" ht="15.75">
      <c r="A104" s="314" t="s">
        <v>26</v>
      </c>
      <c r="B104" s="312"/>
      <c r="C104" s="455"/>
      <c r="D104" s="456"/>
      <c r="E104" s="455"/>
      <c r="F104" s="456"/>
      <c r="G104" s="299"/>
    </row>
    <row r="105" spans="1:7" ht="15.75">
      <c r="A105" s="314" t="s">
        <v>27</v>
      </c>
      <c r="B105" s="312"/>
      <c r="C105" s="475">
        <f>IF(C106*0.1&lt;C104,"Exceed 10% Rule","")</f>
      </c>
      <c r="D105" s="476"/>
      <c r="E105" s="475">
        <f>IF(E106*0.1&lt;E104,"Exceed 10% Rule","")</f>
      </c>
      <c r="F105" s="476"/>
      <c r="G105" s="348">
        <f>IF(G106*0.1&lt;G104,"Exceed 10% Rule","")</f>
      </c>
    </row>
    <row r="106" spans="1:7" ht="15.75">
      <c r="A106" s="153" t="s">
        <v>172</v>
      </c>
      <c r="B106" s="323"/>
      <c r="C106" s="477">
        <f>SUM(C68:D104)</f>
        <v>3252246.04</v>
      </c>
      <c r="D106" s="478"/>
      <c r="E106" s="477">
        <f>SUM(E67:E104)</f>
        <v>3394809</v>
      </c>
      <c r="F106" s="478"/>
      <c r="G106" s="260">
        <f>SUM(G67:G104)</f>
        <v>3416164</v>
      </c>
    </row>
    <row r="107" spans="1:7" ht="15.75">
      <c r="A107" s="37" t="s">
        <v>290</v>
      </c>
      <c r="B107" s="323"/>
      <c r="C107" s="457">
        <f>C55-C106</f>
        <v>1252039.37</v>
      </c>
      <c r="D107" s="458"/>
      <c r="E107" s="457">
        <f>E55-E106</f>
        <v>567300.3700000001</v>
      </c>
      <c r="F107" s="458"/>
      <c r="G107" s="45" t="s">
        <v>144</v>
      </c>
    </row>
    <row r="108" spans="1:8" ht="15.75">
      <c r="A108" s="23" t="str">
        <f>CONCATENATE("",G1-2,"/",G1-1," Budget Authority Amount:")</f>
        <v>2008/2009 Budget Authority Amount:</v>
      </c>
      <c r="B108" s="331">
        <f>inputOth!B59</f>
        <v>3536434</v>
      </c>
      <c r="C108" s="331">
        <f>inputPrYr!D16</f>
        <v>3394809</v>
      </c>
      <c r="D108" s="468" t="s">
        <v>76</v>
      </c>
      <c r="E108" s="469"/>
      <c r="F108" s="470"/>
      <c r="G108" s="13"/>
      <c r="H108" s="291">
        <f>IF(G106/0.95-G106&lt;G108,"Exceeds 5%","")</f>
      </c>
    </row>
    <row r="109" spans="1:7" ht="15.75">
      <c r="A109" s="23" t="str">
        <f>CONCATENATE("Violation of Budget Law for ",G1-2,"/",G1-1,":")</f>
        <v>Violation of Budget Law for 2008/2009:</v>
      </c>
      <c r="B109" s="332" t="str">
        <f>IF(C106&gt;B108,"Yes","No")</f>
        <v>No</v>
      </c>
      <c r="C109" s="332" t="str">
        <f>IF(E106&gt;C108,"Yes","No")</f>
        <v>No</v>
      </c>
      <c r="D109" s="21"/>
      <c r="E109" s="471" t="s">
        <v>77</v>
      </c>
      <c r="F109" s="472"/>
      <c r="G109" s="40">
        <f>G106+G108</f>
        <v>3416164</v>
      </c>
    </row>
    <row r="110" spans="1:7" ht="15.75">
      <c r="A110" s="23" t="str">
        <f>CONCATENATE("Possible Cash Violation for ",G1-2,":")</f>
        <v>Possible Cash Violation for 2008:</v>
      </c>
      <c r="B110" s="332" t="str">
        <f>IF(C107&lt;0,"Yes","No")</f>
        <v>No</v>
      </c>
      <c r="C110" s="332"/>
      <c r="D110" s="21"/>
      <c r="E110" s="471" t="s">
        <v>173</v>
      </c>
      <c r="F110" s="472"/>
      <c r="G110" s="258">
        <f>IF(G109-G55&gt;0,G109-G55,0)</f>
        <v>788282.2399999998</v>
      </c>
    </row>
    <row r="111" spans="1:7" ht="15.75">
      <c r="A111" s="24"/>
      <c r="B111" s="24"/>
      <c r="C111" s="473" t="s">
        <v>78</v>
      </c>
      <c r="D111" s="474"/>
      <c r="E111" s="474"/>
      <c r="F111" s="230">
        <f>(inputOth!$E$46)</f>
        <v>0</v>
      </c>
      <c r="G111" s="40">
        <f>ROUND(IF(F111&gt;0,(G110*F111),0),0)</f>
        <v>0</v>
      </c>
    </row>
    <row r="112" spans="1:7" ht="15.75">
      <c r="A112" s="21"/>
      <c r="B112" s="65">
        <f>SUM(C68:D100)</f>
        <v>3252246.04</v>
      </c>
      <c r="C112" s="465" t="str">
        <f>CONCATENATE("Amount of  ",$G$1-1," Ad Valorem Tax")</f>
        <v>Amount of  2009 Ad Valorem Tax</v>
      </c>
      <c r="D112" s="466"/>
      <c r="E112" s="466"/>
      <c r="F112" s="467"/>
      <c r="G112" s="384">
        <f>G110+G111</f>
        <v>788282.2399999998</v>
      </c>
    </row>
    <row r="113" spans="1:7" ht="15.75">
      <c r="A113" s="21"/>
      <c r="B113" s="21"/>
      <c r="C113" s="21"/>
      <c r="D113" s="21"/>
      <c r="E113" s="21"/>
      <c r="F113" s="21"/>
      <c r="G113" s="21"/>
    </row>
    <row r="114" spans="1:7" ht="15.75">
      <c r="A114" s="437" t="s">
        <v>309</v>
      </c>
      <c r="B114" s="437"/>
      <c r="C114" s="437"/>
      <c r="D114" s="437"/>
      <c r="E114" s="437"/>
      <c r="F114" s="437"/>
      <c r="G114" s="437"/>
    </row>
    <row r="116" spans="1:2" ht="15.75">
      <c r="A116"/>
      <c r="B116"/>
    </row>
    <row r="119" spans="1:4" ht="15.75">
      <c r="A119" s="2"/>
      <c r="B119" s="2"/>
      <c r="C119" s="2"/>
      <c r="D119" s="2"/>
    </row>
  </sheetData>
  <sheetProtection/>
  <mergeCells count="196">
    <mergeCell ref="C67:D67"/>
    <mergeCell ref="C66:D66"/>
    <mergeCell ref="C6:D6"/>
    <mergeCell ref="C7:D7"/>
    <mergeCell ref="C8:D8"/>
    <mergeCell ref="C18:D18"/>
    <mergeCell ref="C21:D21"/>
    <mergeCell ref="C22:D22"/>
    <mergeCell ref="C19:D19"/>
    <mergeCell ref="C20:D20"/>
    <mergeCell ref="A114:G114"/>
    <mergeCell ref="C62:D62"/>
    <mergeCell ref="C63:D63"/>
    <mergeCell ref="C64:D64"/>
    <mergeCell ref="C65:D65"/>
    <mergeCell ref="E62:F62"/>
    <mergeCell ref="E63:F63"/>
    <mergeCell ref="C79:D79"/>
    <mergeCell ref="C81:D81"/>
    <mergeCell ref="C82:D82"/>
    <mergeCell ref="E55:F55"/>
    <mergeCell ref="C27:D27"/>
    <mergeCell ref="E5:F5"/>
    <mergeCell ref="E6:F6"/>
    <mergeCell ref="E7:F7"/>
    <mergeCell ref="E8:F8"/>
    <mergeCell ref="C5:D5"/>
    <mergeCell ref="E9:F9"/>
    <mergeCell ref="C14:D14"/>
    <mergeCell ref="C15:D15"/>
    <mergeCell ref="C73:D73"/>
    <mergeCell ref="C74:D74"/>
    <mergeCell ref="E10:F10"/>
    <mergeCell ref="E11:F11"/>
    <mergeCell ref="E12:F12"/>
    <mergeCell ref="C53:D53"/>
    <mergeCell ref="C54:D54"/>
    <mergeCell ref="C55:D55"/>
    <mergeCell ref="E53:F53"/>
    <mergeCell ref="E54:F54"/>
    <mergeCell ref="E110:F110"/>
    <mergeCell ref="C111:E111"/>
    <mergeCell ref="E105:F105"/>
    <mergeCell ref="E106:F106"/>
    <mergeCell ref="E107:F107"/>
    <mergeCell ref="C105:D105"/>
    <mergeCell ref="C106:D106"/>
    <mergeCell ref="C107:D107"/>
    <mergeCell ref="C16:D16"/>
    <mergeCell ref="C17:D17"/>
    <mergeCell ref="D108:F108"/>
    <mergeCell ref="E109:F109"/>
    <mergeCell ref="C68:D68"/>
    <mergeCell ref="C69:D69"/>
    <mergeCell ref="C70:D70"/>
    <mergeCell ref="C72:D72"/>
    <mergeCell ref="C23:D23"/>
    <mergeCell ref="C24:D24"/>
    <mergeCell ref="C25:D25"/>
    <mergeCell ref="C26:D26"/>
    <mergeCell ref="C112:F112"/>
    <mergeCell ref="C9:D9"/>
    <mergeCell ref="C10:D10"/>
    <mergeCell ref="C11:D11"/>
    <mergeCell ref="C12:D12"/>
    <mergeCell ref="C13:D13"/>
    <mergeCell ref="C31:D31"/>
    <mergeCell ref="C32:D32"/>
    <mergeCell ref="C33:D33"/>
    <mergeCell ref="C34:D34"/>
    <mergeCell ref="C28:D28"/>
    <mergeCell ref="C29:D29"/>
    <mergeCell ref="C30:D30"/>
    <mergeCell ref="C46:D46"/>
    <mergeCell ref="C36:D36"/>
    <mergeCell ref="C37:D37"/>
    <mergeCell ref="C38:D38"/>
    <mergeCell ref="E13:F13"/>
    <mergeCell ref="E18:F18"/>
    <mergeCell ref="E19:F19"/>
    <mergeCell ref="E20:F20"/>
    <mergeCell ref="E21:F21"/>
    <mergeCell ref="C35:D35"/>
    <mergeCell ref="E14:F14"/>
    <mergeCell ref="E15:F15"/>
    <mergeCell ref="E16:F16"/>
    <mergeCell ref="E17:F17"/>
    <mergeCell ref="C49:D49"/>
    <mergeCell ref="C50:D50"/>
    <mergeCell ref="C39:D39"/>
    <mergeCell ref="C40:D40"/>
    <mergeCell ref="C41:D41"/>
    <mergeCell ref="C42:D42"/>
    <mergeCell ref="C48:D48"/>
    <mergeCell ref="C43:D43"/>
    <mergeCell ref="C44:D44"/>
    <mergeCell ref="C45:D45"/>
    <mergeCell ref="E26:F26"/>
    <mergeCell ref="E27:F27"/>
    <mergeCell ref="E28:F28"/>
    <mergeCell ref="E29:F29"/>
    <mergeCell ref="E22:F22"/>
    <mergeCell ref="E23:F23"/>
    <mergeCell ref="E24:F24"/>
    <mergeCell ref="E25:F25"/>
    <mergeCell ref="E34:F34"/>
    <mergeCell ref="E35:F35"/>
    <mergeCell ref="E36:F36"/>
    <mergeCell ref="E37:F37"/>
    <mergeCell ref="E30:F30"/>
    <mergeCell ref="E31:F31"/>
    <mergeCell ref="E32:F32"/>
    <mergeCell ref="E33:F33"/>
    <mergeCell ref="C51:D51"/>
    <mergeCell ref="E42:F42"/>
    <mergeCell ref="E43:F43"/>
    <mergeCell ref="E44:F44"/>
    <mergeCell ref="E45:F45"/>
    <mergeCell ref="E38:F38"/>
    <mergeCell ref="E39:F39"/>
    <mergeCell ref="E40:F40"/>
    <mergeCell ref="E41:F41"/>
    <mergeCell ref="C47:D47"/>
    <mergeCell ref="E49:F49"/>
    <mergeCell ref="E50:F50"/>
    <mergeCell ref="E51:F51"/>
    <mergeCell ref="E46:F46"/>
    <mergeCell ref="E47:F47"/>
    <mergeCell ref="E48:F48"/>
    <mergeCell ref="E52:F52"/>
    <mergeCell ref="E64:F64"/>
    <mergeCell ref="E65:F65"/>
    <mergeCell ref="A57:G57"/>
    <mergeCell ref="C52:D52"/>
    <mergeCell ref="C80:D80"/>
    <mergeCell ref="C75:D75"/>
    <mergeCell ref="C76:D76"/>
    <mergeCell ref="C77:D77"/>
    <mergeCell ref="C78:D78"/>
    <mergeCell ref="C96:D96"/>
    <mergeCell ref="C88:D88"/>
    <mergeCell ref="C90:D90"/>
    <mergeCell ref="C91:D91"/>
    <mergeCell ref="C92:D92"/>
    <mergeCell ref="C83:D83"/>
    <mergeCell ref="C84:D84"/>
    <mergeCell ref="C85:D85"/>
    <mergeCell ref="C86:D86"/>
    <mergeCell ref="C104:D104"/>
    <mergeCell ref="E66:F66"/>
    <mergeCell ref="C97:D97"/>
    <mergeCell ref="C98:D98"/>
    <mergeCell ref="C95:D95"/>
    <mergeCell ref="E67:F67"/>
    <mergeCell ref="E68:F68"/>
    <mergeCell ref="E69:F69"/>
    <mergeCell ref="C102:D102"/>
    <mergeCell ref="C103:D103"/>
    <mergeCell ref="C99:D99"/>
    <mergeCell ref="C100:D100"/>
    <mergeCell ref="C93:D93"/>
    <mergeCell ref="C94:D94"/>
    <mergeCell ref="E75:F75"/>
    <mergeCell ref="E76:F76"/>
    <mergeCell ref="E77:F77"/>
    <mergeCell ref="E78:F78"/>
    <mergeCell ref="E85:F85"/>
    <mergeCell ref="E86:F86"/>
    <mergeCell ref="E70:F70"/>
    <mergeCell ref="E72:F72"/>
    <mergeCell ref="E73:F73"/>
    <mergeCell ref="E74:F74"/>
    <mergeCell ref="E83:F83"/>
    <mergeCell ref="E84:F84"/>
    <mergeCell ref="E79:F79"/>
    <mergeCell ref="E80:F80"/>
    <mergeCell ref="E81:F81"/>
    <mergeCell ref="E82:F82"/>
    <mergeCell ref="E93:F93"/>
    <mergeCell ref="E94:F94"/>
    <mergeCell ref="E95:F95"/>
    <mergeCell ref="E96:F96"/>
    <mergeCell ref="E88:F88"/>
    <mergeCell ref="E90:F90"/>
    <mergeCell ref="E91:F91"/>
    <mergeCell ref="E92:F92"/>
    <mergeCell ref="C101:D101"/>
    <mergeCell ref="C87:D87"/>
    <mergeCell ref="E97:F97"/>
    <mergeCell ref="E98:F98"/>
    <mergeCell ref="E104:F104"/>
    <mergeCell ref="E99:F99"/>
    <mergeCell ref="E100:F100"/>
    <mergeCell ref="E102:F102"/>
    <mergeCell ref="E103:F103"/>
    <mergeCell ref="E101:F101"/>
  </mergeCells>
  <conditionalFormatting sqref="G104">
    <cfRule type="cellIs" priority="1" dxfId="245" operator="greaterThan" stopIfTrue="1">
      <formula>$G$106*0.1</formula>
    </cfRule>
  </conditionalFormatting>
  <conditionalFormatting sqref="G108">
    <cfRule type="cellIs" priority="2" dxfId="245" operator="greaterThan" stopIfTrue="1">
      <formula>$G$106/0.95-$G$106</formula>
    </cfRule>
  </conditionalFormatting>
  <conditionalFormatting sqref="E106:F106">
    <cfRule type="cellIs" priority="3" dxfId="0" operator="greaterThan" stopIfTrue="1">
      <formula>$C$108</formula>
    </cfRule>
  </conditionalFormatting>
  <conditionalFormatting sqref="C106:D106">
    <cfRule type="cellIs" priority="4" dxfId="0" operator="greaterThan" stopIfTrue="1">
      <formula>$B$108</formula>
    </cfRule>
  </conditionalFormatting>
  <conditionalFormatting sqref="C107:D107">
    <cfRule type="cellIs" priority="5" dxfId="0" operator="lessThan" stopIfTrue="1">
      <formula>0</formula>
    </cfRule>
  </conditionalFormatting>
  <conditionalFormatting sqref="C104:D104">
    <cfRule type="cellIs" priority="6" dxfId="0" operator="greaterThan" stopIfTrue="1">
      <formula>$C$106*0.1</formula>
    </cfRule>
  </conditionalFormatting>
  <conditionalFormatting sqref="E104:F104">
    <cfRule type="cellIs" priority="7" dxfId="0" operator="greaterThan" stopIfTrue="1">
      <formula>$E$106*0.1</formula>
    </cfRule>
  </conditionalFormatting>
  <conditionalFormatting sqref="E52">
    <cfRule type="cellIs" priority="8" dxfId="0" operator="greaterThan" stopIfTrue="1">
      <formula>$E$54*0.1</formula>
    </cfRule>
  </conditionalFormatting>
  <conditionalFormatting sqref="C52:D52">
    <cfRule type="cellIs" priority="9" dxfId="0" operator="greaterThan" stopIfTrue="1">
      <formula>$C$54*0.1</formula>
    </cfRule>
  </conditionalFormatting>
  <conditionalFormatting sqref="G52">
    <cfRule type="cellIs" priority="10" dxfId="245" operator="greaterThan" stopIfTrue="1">
      <formula>$G$54*0.1+G112</formula>
    </cfRule>
  </conditionalFormatting>
  <printOptions/>
  <pageMargins left="0.5" right="0.5" top="1" bottom="0.5" header="0.5" footer="0.5"/>
  <pageSetup blackAndWhite="1" fitToHeight="2" fitToWidth="1" horizontalDpi="120" verticalDpi="120" orientation="portrait" scale="76" r:id="rId1"/>
  <headerFooter alignWithMargins="0">
    <oddHeader>&amp;RState of Kansas
City</oddHeader>
    <oddFooter>&amp;Lrevised 8/21/08</oddFooter>
  </headerFooter>
  <rowBreaks count="1" manualBreakCount="1">
    <brk id="58"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H62"/>
  <sheetViews>
    <sheetView zoomScale="80" zoomScaleNormal="80" zoomScalePageLayoutView="0" workbookViewId="0" topLeftCell="A46">
      <selection activeCell="G60" sqref="G60"/>
    </sheetView>
  </sheetViews>
  <sheetFormatPr defaultColWidth="8.796875" defaultRowHeight="15"/>
  <cols>
    <col min="1" max="1" width="28.796875" style="7" customWidth="1"/>
    <col min="2" max="2" width="9.59765625" style="7" customWidth="1"/>
    <col min="3" max="3" width="10.3984375" style="7" customWidth="1"/>
    <col min="4" max="4" width="5.796875" style="7" customWidth="1"/>
    <col min="5" max="5" width="9.69921875" style="7" customWidth="1"/>
    <col min="6" max="6" width="6.69921875" style="7" customWidth="1"/>
    <col min="7" max="7" width="16.19921875" style="7" customWidth="1"/>
    <col min="8" max="16384" width="8.8984375" style="7" customWidth="1"/>
  </cols>
  <sheetData>
    <row r="1" spans="1:7" ht="15.75">
      <c r="A1" s="72" t="str">
        <f>inputPrYr!D2</f>
        <v>CITY OF PARK CITY</v>
      </c>
      <c r="B1" s="72"/>
      <c r="C1" s="21"/>
      <c r="D1" s="21"/>
      <c r="E1" s="21"/>
      <c r="F1" s="21"/>
      <c r="G1" s="144">
        <f>inputPrYr!$C$5</f>
        <v>2010</v>
      </c>
    </row>
    <row r="2" spans="1:7" ht="15.75">
      <c r="A2" s="21"/>
      <c r="B2" s="21"/>
      <c r="C2" s="21"/>
      <c r="D2" s="21"/>
      <c r="E2" s="21"/>
      <c r="F2" s="21"/>
      <c r="G2" s="24"/>
    </row>
    <row r="3" spans="1:7" ht="15.75">
      <c r="A3" s="90" t="s">
        <v>21</v>
      </c>
      <c r="B3" s="90"/>
      <c r="C3" s="94"/>
      <c r="D3" s="94"/>
      <c r="E3" s="94"/>
      <c r="F3" s="94"/>
      <c r="G3" s="145"/>
    </row>
    <row r="4" spans="1:7" ht="15.75">
      <c r="A4" s="21"/>
      <c r="B4" s="21"/>
      <c r="C4" s="146"/>
      <c r="D4" s="146"/>
      <c r="E4" s="146"/>
      <c r="F4" s="146"/>
      <c r="G4" s="146"/>
    </row>
    <row r="5" spans="1:7" ht="15.75">
      <c r="A5" s="25" t="s">
        <v>156</v>
      </c>
      <c r="B5" s="25"/>
      <c r="C5" s="485" t="s">
        <v>180</v>
      </c>
      <c r="D5" s="486"/>
      <c r="E5" s="481" t="s">
        <v>317</v>
      </c>
      <c r="F5" s="482"/>
      <c r="G5" s="33" t="s">
        <v>318</v>
      </c>
    </row>
    <row r="6" spans="1:7" ht="15.75">
      <c r="A6" s="138" t="str">
        <f>inputPrYr!B17</f>
        <v>Debt Service</v>
      </c>
      <c r="B6" s="138"/>
      <c r="C6" s="451">
        <f>G1-2</f>
        <v>2008</v>
      </c>
      <c r="D6" s="496"/>
      <c r="E6" s="451">
        <f>G1-1</f>
        <v>2009</v>
      </c>
      <c r="F6" s="496"/>
      <c r="G6" s="148">
        <f>G1</f>
        <v>2010</v>
      </c>
    </row>
    <row r="7" spans="1:7" ht="15.75">
      <c r="A7" s="37" t="s">
        <v>289</v>
      </c>
      <c r="B7" s="304"/>
      <c r="C7" s="453">
        <v>745875</v>
      </c>
      <c r="D7" s="454"/>
      <c r="E7" s="497">
        <f>C55</f>
        <v>693043</v>
      </c>
      <c r="F7" s="498"/>
      <c r="G7" s="150">
        <f>E55</f>
        <v>472142</v>
      </c>
    </row>
    <row r="8" spans="1:7" ht="15.75">
      <c r="A8" s="303" t="s">
        <v>291</v>
      </c>
      <c r="B8" s="304"/>
      <c r="C8" s="494"/>
      <c r="D8" s="495"/>
      <c r="E8" s="497"/>
      <c r="F8" s="498"/>
      <c r="G8" s="150"/>
    </row>
    <row r="9" spans="1:7" ht="15.75">
      <c r="A9" s="37" t="s">
        <v>157</v>
      </c>
      <c r="B9" s="304"/>
      <c r="C9" s="455"/>
      <c r="D9" s="456"/>
      <c r="E9" s="494">
        <f>inputPrYr!E17</f>
        <v>144300</v>
      </c>
      <c r="F9" s="495"/>
      <c r="G9" s="97" t="s">
        <v>144</v>
      </c>
    </row>
    <row r="10" spans="1:7" ht="15.75">
      <c r="A10" s="37" t="s">
        <v>158</v>
      </c>
      <c r="B10" s="304"/>
      <c r="C10" s="455"/>
      <c r="D10" s="456"/>
      <c r="E10" s="455">
        <v>36</v>
      </c>
      <c r="F10" s="456"/>
      <c r="G10" s="149">
        <v>0</v>
      </c>
    </row>
    <row r="11" spans="1:7" ht="15.75">
      <c r="A11" s="37" t="s">
        <v>159</v>
      </c>
      <c r="B11" s="304"/>
      <c r="C11" s="455"/>
      <c r="D11" s="456"/>
      <c r="E11" s="455"/>
      <c r="F11" s="456"/>
      <c r="G11" s="151">
        <f>mvalloc!C8</f>
        <v>17660</v>
      </c>
    </row>
    <row r="12" spans="1:7" ht="15.75">
      <c r="A12" s="37" t="s">
        <v>160</v>
      </c>
      <c r="B12" s="304"/>
      <c r="C12" s="455"/>
      <c r="D12" s="456"/>
      <c r="E12" s="455"/>
      <c r="F12" s="456"/>
      <c r="G12" s="151">
        <f>mvalloc!D8</f>
        <v>282</v>
      </c>
    </row>
    <row r="13" spans="1:7" ht="15.75">
      <c r="A13" s="317" t="s">
        <v>266</v>
      </c>
      <c r="B13" s="304"/>
      <c r="C13" s="455"/>
      <c r="D13" s="456"/>
      <c r="E13" s="455"/>
      <c r="F13" s="456"/>
      <c r="G13" s="151">
        <f>mvalloc!E8</f>
        <v>115</v>
      </c>
    </row>
    <row r="14" spans="1:7" ht="15.75">
      <c r="A14" s="317" t="s">
        <v>337</v>
      </c>
      <c r="B14" s="304"/>
      <c r="C14" s="455"/>
      <c r="D14" s="456"/>
      <c r="E14" s="455">
        <v>559</v>
      </c>
      <c r="F14" s="456"/>
      <c r="G14" s="151">
        <f>mvalloc!F8</f>
        <v>0</v>
      </c>
    </row>
    <row r="15" spans="1:7" ht="15.75">
      <c r="A15" s="317"/>
      <c r="B15" s="304"/>
      <c r="C15" s="455"/>
      <c r="D15" s="456"/>
      <c r="E15" s="455"/>
      <c r="F15" s="456"/>
      <c r="G15" s="151"/>
    </row>
    <row r="16" spans="1:7" ht="15.75">
      <c r="A16" s="317"/>
      <c r="B16" s="304"/>
      <c r="C16" s="455"/>
      <c r="D16" s="456"/>
      <c r="E16" s="455"/>
      <c r="F16" s="456"/>
      <c r="G16" s="151"/>
    </row>
    <row r="17" spans="1:7" ht="15.75">
      <c r="A17" s="318" t="s">
        <v>577</v>
      </c>
      <c r="B17" s="305"/>
      <c r="C17" s="455">
        <v>183272</v>
      </c>
      <c r="D17" s="456"/>
      <c r="E17" s="455">
        <v>178317</v>
      </c>
      <c r="F17" s="456"/>
      <c r="G17" s="149">
        <v>169786</v>
      </c>
    </row>
    <row r="18" spans="1:7" ht="15.75">
      <c r="A18" s="318" t="s">
        <v>569</v>
      </c>
      <c r="B18" s="305"/>
      <c r="C18" s="455">
        <v>7130</v>
      </c>
      <c r="D18" s="456"/>
      <c r="E18" s="455">
        <v>6930</v>
      </c>
      <c r="F18" s="456"/>
      <c r="G18" s="152">
        <v>6730</v>
      </c>
    </row>
    <row r="19" spans="1:7" ht="15.75">
      <c r="A19" s="318" t="s">
        <v>570</v>
      </c>
      <c r="B19" s="305"/>
      <c r="C19" s="455">
        <v>1522445</v>
      </c>
      <c r="D19" s="456"/>
      <c r="E19" s="455">
        <v>1456479</v>
      </c>
      <c r="F19" s="456"/>
      <c r="G19" s="149">
        <v>2010400</v>
      </c>
    </row>
    <row r="20" spans="1:7" ht="15.75">
      <c r="A20" s="318" t="s">
        <v>571</v>
      </c>
      <c r="B20" s="305"/>
      <c r="C20" s="455">
        <v>148444</v>
      </c>
      <c r="D20" s="456"/>
      <c r="E20" s="455">
        <v>0</v>
      </c>
      <c r="F20" s="456"/>
      <c r="G20" s="149">
        <v>0</v>
      </c>
    </row>
    <row r="21" spans="1:7" ht="15.75">
      <c r="A21" s="318" t="s">
        <v>572</v>
      </c>
      <c r="B21" s="305"/>
      <c r="C21" s="455"/>
      <c r="D21" s="456"/>
      <c r="E21" s="455"/>
      <c r="F21" s="456"/>
      <c r="G21" s="149">
        <v>0</v>
      </c>
    </row>
    <row r="22" spans="1:7" ht="15.75">
      <c r="A22" s="318" t="s">
        <v>573</v>
      </c>
      <c r="B22" s="305"/>
      <c r="C22" s="455">
        <v>91950</v>
      </c>
      <c r="D22" s="456"/>
      <c r="E22" s="455">
        <v>95075</v>
      </c>
      <c r="F22" s="456"/>
      <c r="G22" s="149">
        <f>31412.5+31412.5+30000</f>
        <v>92825</v>
      </c>
    </row>
    <row r="23" spans="1:7" ht="15.75">
      <c r="A23" s="318" t="s">
        <v>578</v>
      </c>
      <c r="B23" s="305"/>
      <c r="C23" s="455"/>
      <c r="D23" s="456"/>
      <c r="E23" s="455">
        <v>1</v>
      </c>
      <c r="F23" s="456"/>
      <c r="G23" s="149">
        <v>494</v>
      </c>
    </row>
    <row r="24" spans="1:7" ht="15.75">
      <c r="A24" s="318"/>
      <c r="B24" s="305"/>
      <c r="C24" s="455"/>
      <c r="D24" s="456"/>
      <c r="E24" s="455"/>
      <c r="F24" s="456"/>
      <c r="G24" s="149"/>
    </row>
    <row r="25" spans="1:7" ht="15.75">
      <c r="A25" s="318"/>
      <c r="B25" s="305"/>
      <c r="C25" s="455"/>
      <c r="D25" s="456"/>
      <c r="E25" s="455"/>
      <c r="F25" s="456"/>
      <c r="G25" s="149"/>
    </row>
    <row r="26" spans="1:7" ht="15.75">
      <c r="A26" s="318" t="s">
        <v>319</v>
      </c>
      <c r="B26" s="305"/>
      <c r="C26" s="455"/>
      <c r="D26" s="456"/>
      <c r="E26" s="455"/>
      <c r="F26" s="456"/>
      <c r="G26" s="149"/>
    </row>
    <row r="27" spans="1:7" ht="15.75">
      <c r="A27" s="319" t="s">
        <v>164</v>
      </c>
      <c r="B27" s="305"/>
      <c r="C27" s="455">
        <v>23183</v>
      </c>
      <c r="D27" s="456"/>
      <c r="E27" s="455">
        <v>3612</v>
      </c>
      <c r="F27" s="456"/>
      <c r="G27" s="149">
        <v>4000</v>
      </c>
    </row>
    <row r="28" spans="1:7" ht="15.75">
      <c r="A28" s="316" t="s">
        <v>26</v>
      </c>
      <c r="B28" s="312"/>
      <c r="C28" s="455">
        <v>3351</v>
      </c>
      <c r="D28" s="456"/>
      <c r="E28" s="455"/>
      <c r="F28" s="456"/>
      <c r="G28" s="320"/>
    </row>
    <row r="29" spans="1:7" ht="15.75">
      <c r="A29" s="306" t="s">
        <v>28</v>
      </c>
      <c r="B29" s="312"/>
      <c r="C29" s="475">
        <f>IF(C30*0.1&lt;C28,"Exceed 10% Rule","")</f>
      </c>
      <c r="D29" s="476"/>
      <c r="E29" s="475">
        <f>IF(E30*0.1&lt;E28,"Exceed 10% Rule","")</f>
      </c>
      <c r="F29" s="476"/>
      <c r="G29" s="348">
        <f>IF(G30*0.1+G60&lt;G28,"Exceed 10% Rule","")</f>
      </c>
    </row>
    <row r="30" spans="1:7" ht="15.75">
      <c r="A30" s="153" t="s">
        <v>165</v>
      </c>
      <c r="B30" s="304"/>
      <c r="C30" s="489">
        <f>SUM(C9:C28)</f>
        <v>1979775</v>
      </c>
      <c r="D30" s="490"/>
      <c r="E30" s="489">
        <f>SUM(E9:E28)</f>
        <v>1885309</v>
      </c>
      <c r="F30" s="493"/>
      <c r="G30" s="276">
        <f>SUM(G9:G28)</f>
        <v>2302292</v>
      </c>
    </row>
    <row r="31" spans="1:7" ht="15.75">
      <c r="A31" s="153" t="s">
        <v>166</v>
      </c>
      <c r="B31" s="304"/>
      <c r="C31" s="489">
        <f>C7+C30</f>
        <v>2725650</v>
      </c>
      <c r="D31" s="493"/>
      <c r="E31" s="489">
        <f>E7+E30</f>
        <v>2578352</v>
      </c>
      <c r="F31" s="493"/>
      <c r="G31" s="275">
        <f>G7+G30</f>
        <v>2774434</v>
      </c>
    </row>
    <row r="32" spans="1:7" ht="15.75">
      <c r="A32" s="303" t="s">
        <v>168</v>
      </c>
      <c r="B32" s="304"/>
      <c r="C32" s="494"/>
      <c r="D32" s="495"/>
      <c r="E32" s="494"/>
      <c r="F32" s="495"/>
      <c r="G32" s="151"/>
    </row>
    <row r="33" spans="1:7" ht="15.75">
      <c r="A33" s="296" t="s">
        <v>574</v>
      </c>
      <c r="B33" s="305"/>
      <c r="C33" s="455">
        <v>952584</v>
      </c>
      <c r="D33" s="456"/>
      <c r="E33" s="455">
        <v>866374</v>
      </c>
      <c r="F33" s="456"/>
      <c r="G33" s="149">
        <f>+debt!K24</f>
        <v>1334255.98</v>
      </c>
    </row>
    <row r="34" spans="1:7" ht="15.75">
      <c r="A34" s="296" t="s">
        <v>575</v>
      </c>
      <c r="B34" s="305"/>
      <c r="C34" s="455">
        <v>1080000</v>
      </c>
      <c r="D34" s="456"/>
      <c r="E34" s="455">
        <v>1230000</v>
      </c>
      <c r="F34" s="456"/>
      <c r="G34" s="149">
        <f>+debt!L24</f>
        <v>1315000</v>
      </c>
    </row>
    <row r="35" spans="1:7" ht="15.75">
      <c r="A35" s="296" t="s">
        <v>576</v>
      </c>
      <c r="B35" s="305"/>
      <c r="C35" s="455"/>
      <c r="D35" s="456"/>
      <c r="E35" s="455"/>
      <c r="F35" s="456"/>
      <c r="G35" s="149">
        <v>350088</v>
      </c>
    </row>
    <row r="36" spans="1:7" ht="15.75">
      <c r="A36" s="296"/>
      <c r="B36" s="305"/>
      <c r="C36" s="455"/>
      <c r="D36" s="456"/>
      <c r="E36" s="455"/>
      <c r="F36" s="456"/>
      <c r="G36" s="149"/>
    </row>
    <row r="37" spans="1:7" ht="15.75">
      <c r="A37" s="296"/>
      <c r="B37" s="305"/>
      <c r="C37" s="455"/>
      <c r="D37" s="456"/>
      <c r="E37" s="455"/>
      <c r="F37" s="456"/>
      <c r="G37" s="149"/>
    </row>
    <row r="38" spans="1:7" ht="15.75">
      <c r="A38" s="296"/>
      <c r="B38" s="305"/>
      <c r="C38" s="455"/>
      <c r="D38" s="456"/>
      <c r="E38" s="455"/>
      <c r="F38" s="456"/>
      <c r="G38" s="149"/>
    </row>
    <row r="39" spans="1:7" ht="15.75">
      <c r="A39" s="296"/>
      <c r="B39" s="305"/>
      <c r="C39" s="455"/>
      <c r="D39" s="456"/>
      <c r="E39" s="455"/>
      <c r="F39" s="456"/>
      <c r="G39" s="149"/>
    </row>
    <row r="40" spans="1:7" ht="15.75">
      <c r="A40" s="296"/>
      <c r="B40" s="305"/>
      <c r="C40" s="455"/>
      <c r="D40" s="456"/>
      <c r="E40" s="455"/>
      <c r="F40" s="456"/>
      <c r="G40" s="149"/>
    </row>
    <row r="41" spans="1:7" ht="15.75">
      <c r="A41" s="296"/>
      <c r="B41" s="305"/>
      <c r="C41" s="455"/>
      <c r="D41" s="456"/>
      <c r="E41" s="455"/>
      <c r="F41" s="456"/>
      <c r="G41" s="149"/>
    </row>
    <row r="42" spans="1:7" ht="15.75">
      <c r="A42" s="296"/>
      <c r="B42" s="305"/>
      <c r="C42" s="455"/>
      <c r="D42" s="456"/>
      <c r="E42" s="455"/>
      <c r="F42" s="456"/>
      <c r="G42" s="149"/>
    </row>
    <row r="43" spans="1:7" ht="15.75">
      <c r="A43" s="296"/>
      <c r="B43" s="305"/>
      <c r="C43" s="455"/>
      <c r="D43" s="456"/>
      <c r="E43" s="455"/>
      <c r="F43" s="456"/>
      <c r="G43" s="149"/>
    </row>
    <row r="44" spans="1:7" ht="15.75">
      <c r="A44" s="296"/>
      <c r="B44" s="305"/>
      <c r="C44" s="455"/>
      <c r="D44" s="456"/>
      <c r="E44" s="455"/>
      <c r="F44" s="456"/>
      <c r="G44" s="149"/>
    </row>
    <row r="45" spans="1:7" ht="15.75">
      <c r="A45" s="296"/>
      <c r="B45" s="305"/>
      <c r="C45" s="455"/>
      <c r="D45" s="456"/>
      <c r="E45" s="455"/>
      <c r="F45" s="456"/>
      <c r="G45" s="149"/>
    </row>
    <row r="46" spans="1:7" ht="15.75">
      <c r="A46" s="296"/>
      <c r="B46" s="305"/>
      <c r="C46" s="455"/>
      <c r="D46" s="456"/>
      <c r="E46" s="455"/>
      <c r="F46" s="456"/>
      <c r="G46" s="149"/>
    </row>
    <row r="47" spans="1:7" ht="15.75">
      <c r="A47" s="296"/>
      <c r="B47" s="305"/>
      <c r="C47" s="455"/>
      <c r="D47" s="456"/>
      <c r="E47" s="455"/>
      <c r="F47" s="456"/>
      <c r="G47" s="149"/>
    </row>
    <row r="48" spans="1:7" ht="15.75">
      <c r="A48" s="296"/>
      <c r="B48" s="305"/>
      <c r="C48" s="455"/>
      <c r="D48" s="456"/>
      <c r="E48" s="455"/>
      <c r="F48" s="456"/>
      <c r="G48" s="149"/>
    </row>
    <row r="49" spans="1:7" ht="15.75">
      <c r="A49" s="296"/>
      <c r="B49" s="305"/>
      <c r="C49" s="455"/>
      <c r="D49" s="456"/>
      <c r="E49" s="455"/>
      <c r="F49" s="456"/>
      <c r="G49" s="149"/>
    </row>
    <row r="50" spans="1:7" ht="15.75">
      <c r="A50" s="296"/>
      <c r="B50" s="305"/>
      <c r="C50" s="455"/>
      <c r="D50" s="456"/>
      <c r="E50" s="455"/>
      <c r="F50" s="456"/>
      <c r="G50" s="149"/>
    </row>
    <row r="51" spans="1:7" ht="15.75">
      <c r="A51" s="314" t="s">
        <v>25</v>
      </c>
      <c r="B51" s="312"/>
      <c r="C51" s="455"/>
      <c r="D51" s="456"/>
      <c r="E51" s="455"/>
      <c r="F51" s="456"/>
      <c r="G51" s="349">
        <f>nhood!E7</f>
      </c>
    </row>
    <row r="52" spans="1:7" ht="15.75">
      <c r="A52" s="314" t="s">
        <v>26</v>
      </c>
      <c r="B52" s="312"/>
      <c r="C52" s="453">
        <v>23</v>
      </c>
      <c r="D52" s="454"/>
      <c r="E52" s="453">
        <v>9836</v>
      </c>
      <c r="F52" s="454"/>
      <c r="G52" s="320"/>
    </row>
    <row r="53" spans="1:7" ht="15.75">
      <c r="A53" s="314" t="s">
        <v>27</v>
      </c>
      <c r="B53" s="312"/>
      <c r="C53" s="475">
        <f>IF(C54*0.1&lt;C52,"Exceed 10% Rule","")</f>
      </c>
      <c r="D53" s="476"/>
      <c r="E53" s="475">
        <f>IF(E54*0.1&lt;E52,"Exceed 10% Rule","")</f>
      </c>
      <c r="F53" s="476"/>
      <c r="G53" s="348">
        <f>IF(G54*0.1&lt;G52,"Exceed 10% Rule","")</f>
      </c>
    </row>
    <row r="54" spans="1:7" ht="15.75">
      <c r="A54" s="153" t="s">
        <v>172</v>
      </c>
      <c r="B54" s="304"/>
      <c r="C54" s="489">
        <f>SUM(C33:C52)</f>
        <v>2032607</v>
      </c>
      <c r="D54" s="490"/>
      <c r="E54" s="489">
        <f>SUM(E33:E52)</f>
        <v>2106210</v>
      </c>
      <c r="F54" s="493"/>
      <c r="G54" s="276">
        <f>SUM(G33:G52)</f>
        <v>2999343.98</v>
      </c>
    </row>
    <row r="55" spans="1:7" ht="15.75">
      <c r="A55" s="37" t="s">
        <v>290</v>
      </c>
      <c r="B55" s="304"/>
      <c r="C55" s="491">
        <f>C31-C54</f>
        <v>693043</v>
      </c>
      <c r="D55" s="492"/>
      <c r="E55" s="491">
        <f>E31-E54</f>
        <v>472142</v>
      </c>
      <c r="F55" s="492"/>
      <c r="G55" s="97" t="s">
        <v>144</v>
      </c>
    </row>
    <row r="56" spans="1:8" ht="15.75">
      <c r="A56" s="23" t="str">
        <f>CONCATENATE("",G1-2,"/",G1-1," Budget Authority Amount:")</f>
        <v>2008/2009 Budget Authority Amount:</v>
      </c>
      <c r="B56" s="331">
        <f>inputOth!B60</f>
        <v>2321834</v>
      </c>
      <c r="C56" s="331">
        <f>inputPrYr!D17</f>
        <v>2446562</v>
      </c>
      <c r="D56" s="468" t="s">
        <v>76</v>
      </c>
      <c r="E56" s="469"/>
      <c r="F56" s="470"/>
      <c r="G56" s="9"/>
      <c r="H56" s="291">
        <f>IF(G54/0.95-G54&lt;G56,"Exceeds 5%","")</f>
      </c>
    </row>
    <row r="57" spans="1:7" ht="15.75">
      <c r="A57" s="23" t="str">
        <f>CONCATENATE("Violation of Budget Law for ",G1-2,"/",G1-1,":")</f>
        <v>Violation of Budget Law for 2008/2009:</v>
      </c>
      <c r="B57" s="332" t="str">
        <f>IF(C54&gt;B56,"Yes","No")</f>
        <v>No</v>
      </c>
      <c r="C57" s="332" t="str">
        <f>IF(E54&gt;C56,"Yes","No")</f>
        <v>No</v>
      </c>
      <c r="D57" s="21"/>
      <c r="E57" s="471" t="s">
        <v>77</v>
      </c>
      <c r="F57" s="472"/>
      <c r="G57" s="85">
        <f>G54+G56</f>
        <v>2999343.98</v>
      </c>
    </row>
    <row r="58" spans="1:7" ht="15.75">
      <c r="A58" s="23" t="str">
        <f>CONCATENATE("Possible Cash Violation for ",G1-2,":")</f>
        <v>Possible Cash Violation for 2008:</v>
      </c>
      <c r="B58" s="332" t="str">
        <f>IF(C55&lt;0,"Yes","No")</f>
        <v>No</v>
      </c>
      <c r="C58" s="332"/>
      <c r="D58" s="21"/>
      <c r="E58" s="471" t="s">
        <v>173</v>
      </c>
      <c r="F58" s="472"/>
      <c r="G58" s="262">
        <f>IF(G57-G31&gt;0,G57-G31,0)</f>
        <v>224909.97999999998</v>
      </c>
    </row>
    <row r="59" spans="1:7" ht="15.75">
      <c r="A59" s="24"/>
      <c r="B59" s="24"/>
      <c r="C59" s="473" t="s">
        <v>78</v>
      </c>
      <c r="D59" s="474"/>
      <c r="E59" s="474"/>
      <c r="F59" s="230">
        <f>(inputOth!$E$46)</f>
        <v>0</v>
      </c>
      <c r="G59" s="85">
        <f>ROUND(IF(F59&gt;0,(G58*F59),0),0)</f>
        <v>0</v>
      </c>
    </row>
    <row r="60" spans="1:7" ht="15.75">
      <c r="A60" s="21"/>
      <c r="B60" s="21"/>
      <c r="C60" s="465" t="str">
        <f>CONCATENATE("Amount of  ",$G$1-1," Ad Valorem Tax")</f>
        <v>Amount of  2009 Ad Valorem Tax</v>
      </c>
      <c r="D60" s="466"/>
      <c r="E60" s="466"/>
      <c r="F60" s="467"/>
      <c r="G60" s="385">
        <f>G58+G59</f>
        <v>224909.97999999998</v>
      </c>
    </row>
    <row r="61" spans="1:7" ht="15.75">
      <c r="A61" s="24"/>
      <c r="B61" s="24"/>
      <c r="C61" s="21"/>
      <c r="D61" s="21"/>
      <c r="E61" s="21"/>
      <c r="F61" s="21"/>
      <c r="G61" s="21"/>
    </row>
    <row r="62" spans="1:7" ht="15.75">
      <c r="A62" s="23"/>
      <c r="B62" s="23" t="s">
        <v>175</v>
      </c>
      <c r="C62" s="100">
        <v>8</v>
      </c>
      <c r="D62" s="383"/>
      <c r="E62" s="21"/>
      <c r="F62" s="21"/>
      <c r="G62" s="21"/>
    </row>
  </sheetData>
  <sheetProtection sheet="1" objects="1" scenarios="1"/>
  <mergeCells count="107">
    <mergeCell ref="C25:D25"/>
    <mergeCell ref="E5:F5"/>
    <mergeCell ref="E6:F6"/>
    <mergeCell ref="E7:F7"/>
    <mergeCell ref="E8:F8"/>
    <mergeCell ref="C5:D5"/>
    <mergeCell ref="C6:D6"/>
    <mergeCell ref="C7:D7"/>
    <mergeCell ref="C8:D8"/>
    <mergeCell ref="E17:F17"/>
    <mergeCell ref="C32:D32"/>
    <mergeCell ref="E29:F29"/>
    <mergeCell ref="E30:F30"/>
    <mergeCell ref="E31:F31"/>
    <mergeCell ref="E32:F32"/>
    <mergeCell ref="E9:F9"/>
    <mergeCell ref="C29:D29"/>
    <mergeCell ref="C30:D30"/>
    <mergeCell ref="C31:D31"/>
    <mergeCell ref="C18:D18"/>
    <mergeCell ref="D56:F56"/>
    <mergeCell ref="E57:F57"/>
    <mergeCell ref="E58:F58"/>
    <mergeCell ref="C59:E59"/>
    <mergeCell ref="C53:D53"/>
    <mergeCell ref="C54:D54"/>
    <mergeCell ref="C55:D55"/>
    <mergeCell ref="E53:F53"/>
    <mergeCell ref="E54:F54"/>
    <mergeCell ref="E55:F55"/>
    <mergeCell ref="C60:F60"/>
    <mergeCell ref="C9:D9"/>
    <mergeCell ref="C10:D10"/>
    <mergeCell ref="C11:D11"/>
    <mergeCell ref="C12:D12"/>
    <mergeCell ref="C13:D13"/>
    <mergeCell ref="C14:D14"/>
    <mergeCell ref="C15:D15"/>
    <mergeCell ref="C16:D16"/>
    <mergeCell ref="C17:D17"/>
    <mergeCell ref="C28:D28"/>
    <mergeCell ref="E10:F10"/>
    <mergeCell ref="E11:F11"/>
    <mergeCell ref="E12:F12"/>
    <mergeCell ref="E13:F13"/>
    <mergeCell ref="E14:F14"/>
    <mergeCell ref="E15:F15"/>
    <mergeCell ref="E16:F16"/>
    <mergeCell ref="C19:D19"/>
    <mergeCell ref="C20:D20"/>
    <mergeCell ref="E18:F18"/>
    <mergeCell ref="E19:F19"/>
    <mergeCell ref="E20:F20"/>
    <mergeCell ref="C26:D26"/>
    <mergeCell ref="C27:D27"/>
    <mergeCell ref="C21:D21"/>
    <mergeCell ref="C22:D22"/>
    <mergeCell ref="C23:D23"/>
    <mergeCell ref="C24:D24"/>
    <mergeCell ref="E25:F25"/>
    <mergeCell ref="E26:F26"/>
    <mergeCell ref="E27:F27"/>
    <mergeCell ref="E28:F28"/>
    <mergeCell ref="E21:F21"/>
    <mergeCell ref="E22:F22"/>
    <mergeCell ref="E23:F23"/>
    <mergeCell ref="E24:F24"/>
    <mergeCell ref="C37:D37"/>
    <mergeCell ref="C38:D38"/>
    <mergeCell ref="C39:D39"/>
    <mergeCell ref="C40:D40"/>
    <mergeCell ref="C33:D33"/>
    <mergeCell ref="C34:D34"/>
    <mergeCell ref="C35:D35"/>
    <mergeCell ref="C36:D36"/>
    <mergeCell ref="C51:D51"/>
    <mergeCell ref="C52:D52"/>
    <mergeCell ref="C45:D45"/>
    <mergeCell ref="C46:D46"/>
    <mergeCell ref="C47:D47"/>
    <mergeCell ref="C48:D48"/>
    <mergeCell ref="E33:F33"/>
    <mergeCell ref="E34:F34"/>
    <mergeCell ref="E35:F35"/>
    <mergeCell ref="E36:F36"/>
    <mergeCell ref="C49:D49"/>
    <mergeCell ref="C50:D50"/>
    <mergeCell ref="C41:D41"/>
    <mergeCell ref="C42:D42"/>
    <mergeCell ref="C43:D43"/>
    <mergeCell ref="C44:D44"/>
    <mergeCell ref="E41:F41"/>
    <mergeCell ref="E42:F42"/>
    <mergeCell ref="E43:F43"/>
    <mergeCell ref="E44:F44"/>
    <mergeCell ref="E37:F37"/>
    <mergeCell ref="E38:F38"/>
    <mergeCell ref="E39:F39"/>
    <mergeCell ref="E40:F40"/>
    <mergeCell ref="E49:F49"/>
    <mergeCell ref="E50:F50"/>
    <mergeCell ref="E51:F51"/>
    <mergeCell ref="E52:F52"/>
    <mergeCell ref="E45:F45"/>
    <mergeCell ref="E46:F46"/>
    <mergeCell ref="E47:F47"/>
    <mergeCell ref="E48:F48"/>
  </mergeCells>
  <conditionalFormatting sqref="C52:G52">
    <cfRule type="cellIs" priority="1" dxfId="245" operator="greaterThan" stopIfTrue="1">
      <formula>$G$54*0.1</formula>
    </cfRule>
  </conditionalFormatting>
  <conditionalFormatting sqref="G56">
    <cfRule type="cellIs" priority="2" dxfId="245" operator="greaterThan" stopIfTrue="1">
      <formula>$G$54/0.95-$G$54</formula>
    </cfRule>
  </conditionalFormatting>
  <conditionalFormatting sqref="E54:F54">
    <cfRule type="cellIs" priority="3" dxfId="0" operator="greaterThan" stopIfTrue="1">
      <formula>$C$56</formula>
    </cfRule>
  </conditionalFormatting>
  <conditionalFormatting sqref="C54:D54">
    <cfRule type="cellIs" priority="4" dxfId="0" operator="greaterThan" stopIfTrue="1">
      <formula>$B$56</formula>
    </cfRule>
  </conditionalFormatting>
  <conditionalFormatting sqref="C55:D55">
    <cfRule type="cellIs" priority="5" dxfId="0" operator="lessThan" stopIfTrue="1">
      <formula>0</formula>
    </cfRule>
  </conditionalFormatting>
  <conditionalFormatting sqref="E28:F28">
    <cfRule type="cellIs" priority="6" dxfId="0" operator="greaterThan" stopIfTrue="1">
      <formula>$E$30*0.1</formula>
    </cfRule>
  </conditionalFormatting>
  <conditionalFormatting sqref="C28:D28">
    <cfRule type="cellIs" priority="7" dxfId="0" operator="greaterThan" stopIfTrue="1">
      <formula>$C$30*0.1</formula>
    </cfRule>
  </conditionalFormatting>
  <conditionalFormatting sqref="G28">
    <cfRule type="cellIs" priority="8" dxfId="245" operator="greaterThan" stopIfTrue="1">
      <formula>$G$30*0.1+G60</formula>
    </cfRule>
  </conditionalFormatting>
  <printOptions/>
  <pageMargins left="0.75" right="0.75" top="1" bottom="1" header="0.5" footer="0.5"/>
  <pageSetup blackAndWhite="1" fitToHeight="1" fitToWidth="1" horizontalDpi="600" verticalDpi="600" orientation="portrait" scale="67" r:id="rId1"/>
  <headerFooter alignWithMargins="0">
    <oddHeader>&amp;RState of Kansas
City</oddHeader>
    <oddFooter>&amp;Lrevised 8/21/08</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75"/>
  <sheetViews>
    <sheetView zoomScale="82" zoomScaleNormal="82" zoomScalePageLayoutView="0" workbookViewId="0" topLeftCell="A40">
      <selection activeCell="A64" sqref="A64"/>
    </sheetView>
  </sheetViews>
  <sheetFormatPr defaultColWidth="8.796875" defaultRowHeight="15"/>
  <cols>
    <col min="1" max="1" width="28.796875" style="7" customWidth="1"/>
    <col min="2" max="2" width="9.59765625" style="7" customWidth="1"/>
    <col min="3" max="3" width="10.3984375" style="7" customWidth="1"/>
    <col min="4" max="4" width="5.796875" style="7" customWidth="1"/>
    <col min="5" max="5" width="9.69921875" style="7" customWidth="1"/>
    <col min="6" max="6" width="6.69921875" style="7" customWidth="1"/>
    <col min="7" max="7" width="16.19921875" style="7" customWidth="1"/>
    <col min="8" max="16384" width="8.8984375" style="7" customWidth="1"/>
  </cols>
  <sheetData>
    <row r="1" spans="1:7" ht="15.75">
      <c r="A1" s="72" t="str">
        <f>(inputPrYr!D2)</f>
        <v>CITY OF PARK CITY</v>
      </c>
      <c r="B1" s="72"/>
      <c r="C1" s="21"/>
      <c r="D1" s="21"/>
      <c r="E1" s="21"/>
      <c r="F1" s="21"/>
      <c r="G1" s="139">
        <f>inputPrYr!C5</f>
        <v>2010</v>
      </c>
    </row>
    <row r="2" spans="1:7" ht="15.75">
      <c r="A2" s="21"/>
      <c r="B2" s="21"/>
      <c r="C2" s="21"/>
      <c r="D2" s="21"/>
      <c r="E2" s="21"/>
      <c r="F2" s="21"/>
      <c r="G2" s="24"/>
    </row>
    <row r="3" spans="1:7" ht="15.75">
      <c r="A3" s="90" t="s">
        <v>233</v>
      </c>
      <c r="B3" s="90"/>
      <c r="C3" s="94"/>
      <c r="D3" s="94"/>
      <c r="E3" s="94"/>
      <c r="F3" s="94"/>
      <c r="G3" s="95"/>
    </row>
    <row r="4" spans="1:7" ht="15.75">
      <c r="A4" s="21"/>
      <c r="B4" s="21"/>
      <c r="C4" s="96"/>
      <c r="D4" s="96"/>
      <c r="E4" s="96"/>
      <c r="F4" s="96"/>
      <c r="G4" s="96"/>
    </row>
    <row r="5" spans="1:7" ht="15.75">
      <c r="A5" s="25" t="s">
        <v>156</v>
      </c>
      <c r="B5" s="25"/>
      <c r="C5" s="485" t="s">
        <v>180</v>
      </c>
      <c r="D5" s="486"/>
      <c r="E5" s="481" t="s">
        <v>317</v>
      </c>
      <c r="F5" s="482"/>
      <c r="G5" s="33" t="s">
        <v>318</v>
      </c>
    </row>
    <row r="6" spans="1:7" ht="15.75">
      <c r="A6" s="138" t="str">
        <f>inputPrYr!B19</f>
        <v>Bond &amp; Interest-Ballfield Lgts</v>
      </c>
      <c r="B6" s="138"/>
      <c r="C6" s="483">
        <f>G1-2</f>
        <v>2008</v>
      </c>
      <c r="D6" s="484"/>
      <c r="E6" s="483">
        <f>G1-1</f>
        <v>2009</v>
      </c>
      <c r="F6" s="484"/>
      <c r="G6" s="147">
        <f>G1</f>
        <v>2010</v>
      </c>
    </row>
    <row r="7" spans="1:7" ht="15.75">
      <c r="A7" s="306" t="s">
        <v>289</v>
      </c>
      <c r="B7" s="312"/>
      <c r="C7" s="455">
        <v>916</v>
      </c>
      <c r="D7" s="456"/>
      <c r="E7" s="461">
        <f>C32</f>
        <v>645</v>
      </c>
      <c r="F7" s="462"/>
      <c r="G7" s="85">
        <f>E32</f>
        <v>195.59000000000015</v>
      </c>
    </row>
    <row r="8" spans="1:7" ht="15.75">
      <c r="A8" s="311" t="s">
        <v>291</v>
      </c>
      <c r="B8" s="312"/>
      <c r="C8" s="463"/>
      <c r="D8" s="464"/>
      <c r="E8" s="463"/>
      <c r="F8" s="464"/>
      <c r="G8" s="40"/>
    </row>
    <row r="9" spans="1:7" ht="15.75">
      <c r="A9" s="37" t="s">
        <v>157</v>
      </c>
      <c r="B9" s="312"/>
      <c r="C9" s="455">
        <v>5847</v>
      </c>
      <c r="D9" s="456"/>
      <c r="E9" s="461">
        <v>6270.59</v>
      </c>
      <c r="F9" s="462"/>
      <c r="G9" s="97" t="s">
        <v>144</v>
      </c>
    </row>
    <row r="10" spans="1:7" ht="15.75">
      <c r="A10" s="37" t="s">
        <v>158</v>
      </c>
      <c r="B10" s="312"/>
      <c r="C10" s="455">
        <v>171</v>
      </c>
      <c r="D10" s="456"/>
      <c r="E10" s="455"/>
      <c r="F10" s="456"/>
      <c r="G10" s="9"/>
    </row>
    <row r="11" spans="1:7" ht="15.75">
      <c r="A11" s="37" t="s">
        <v>159</v>
      </c>
      <c r="B11" s="312"/>
      <c r="C11" s="455">
        <v>799</v>
      </c>
      <c r="D11" s="456"/>
      <c r="E11" s="455">
        <v>729</v>
      </c>
      <c r="F11" s="456"/>
      <c r="G11" s="85">
        <f>mvalloc!C9</f>
        <v>823</v>
      </c>
    </row>
    <row r="12" spans="1:7" ht="15.75">
      <c r="A12" s="37" t="s">
        <v>160</v>
      </c>
      <c r="B12" s="312"/>
      <c r="C12" s="455">
        <v>12</v>
      </c>
      <c r="D12" s="456"/>
      <c r="E12" s="455">
        <v>13</v>
      </c>
      <c r="F12" s="456"/>
      <c r="G12" s="85">
        <f>mvalloc!D9</f>
        <v>13</v>
      </c>
    </row>
    <row r="13" spans="1:7" ht="15.75">
      <c r="A13" s="316" t="s">
        <v>266</v>
      </c>
      <c r="B13" s="312"/>
      <c r="C13" s="455">
        <v>9</v>
      </c>
      <c r="D13" s="456"/>
      <c r="E13" s="455">
        <v>6</v>
      </c>
      <c r="F13" s="456"/>
      <c r="G13" s="85">
        <f>mvalloc!E9</f>
        <v>5</v>
      </c>
    </row>
    <row r="14" spans="1:7" ht="15.75">
      <c r="A14" s="317" t="s">
        <v>337</v>
      </c>
      <c r="B14" s="312"/>
      <c r="C14" s="455">
        <v>0</v>
      </c>
      <c r="D14" s="456"/>
      <c r="E14" s="455">
        <v>37</v>
      </c>
      <c r="F14" s="456"/>
      <c r="G14" s="85">
        <f>mvalloc!F9</f>
        <v>0</v>
      </c>
    </row>
    <row r="15" spans="1:7" ht="15.75">
      <c r="A15" s="296"/>
      <c r="B15" s="313"/>
      <c r="C15" s="455"/>
      <c r="D15" s="456"/>
      <c r="E15" s="455"/>
      <c r="F15" s="456"/>
      <c r="G15" s="9"/>
    </row>
    <row r="16" spans="1:7" ht="15.75">
      <c r="A16" s="296" t="s">
        <v>578</v>
      </c>
      <c r="B16" s="313"/>
      <c r="C16" s="455">
        <v>21</v>
      </c>
      <c r="D16" s="456"/>
      <c r="E16" s="455">
        <v>10</v>
      </c>
      <c r="F16" s="456"/>
      <c r="G16" s="9">
        <v>10</v>
      </c>
    </row>
    <row r="17" spans="1:7" ht="15.75">
      <c r="A17" s="307" t="s">
        <v>164</v>
      </c>
      <c r="B17" s="313"/>
      <c r="C17" s="455"/>
      <c r="D17" s="456"/>
      <c r="E17" s="455"/>
      <c r="F17" s="456"/>
      <c r="G17" s="9"/>
    </row>
    <row r="18" spans="1:7" ht="15.75">
      <c r="A18" s="316" t="s">
        <v>26</v>
      </c>
      <c r="B18" s="312"/>
      <c r="C18" s="455"/>
      <c r="D18" s="456"/>
      <c r="E18" s="455"/>
      <c r="F18" s="456"/>
      <c r="G18" s="308"/>
    </row>
    <row r="19" spans="1:7" ht="15.75">
      <c r="A19" s="306" t="s">
        <v>28</v>
      </c>
      <c r="B19" s="312"/>
      <c r="C19" s="475">
        <f>IF(C20*0.1&lt;C18,"Exceed 10% Rule","")</f>
      </c>
      <c r="D19" s="476"/>
      <c r="E19" s="475">
        <f>IF(E20*0.1&lt;E18,"Exceed 10% Rule","")</f>
      </c>
      <c r="F19" s="476"/>
      <c r="G19" s="348">
        <f>IF(G20*0.1+G37&lt;G18,"Exceed 10% Rule","")</f>
      </c>
    </row>
    <row r="20" spans="1:7" ht="15.75">
      <c r="A20" s="153" t="s">
        <v>165</v>
      </c>
      <c r="B20" s="312"/>
      <c r="C20" s="479">
        <f>SUM(C9:C18)</f>
        <v>6859</v>
      </c>
      <c r="D20" s="480"/>
      <c r="E20" s="479">
        <f>SUM(E9:E18)</f>
        <v>7065.59</v>
      </c>
      <c r="F20" s="480"/>
      <c r="G20" s="263">
        <f>SUM(G9:G18)</f>
        <v>851</v>
      </c>
    </row>
    <row r="21" spans="1:7" ht="15.75">
      <c r="A21" s="153" t="s">
        <v>166</v>
      </c>
      <c r="B21" s="312"/>
      <c r="C21" s="457">
        <f>C7+C20</f>
        <v>7775</v>
      </c>
      <c r="D21" s="458"/>
      <c r="E21" s="457">
        <f>E7+E20</f>
        <v>7710.59</v>
      </c>
      <c r="F21" s="458"/>
      <c r="G21" s="262">
        <f>G7+G20</f>
        <v>1046.5900000000001</v>
      </c>
    </row>
    <row r="22" spans="1:7" ht="15.75">
      <c r="A22" s="37" t="s">
        <v>168</v>
      </c>
      <c r="B22" s="312"/>
      <c r="C22" s="499"/>
      <c r="D22" s="500"/>
      <c r="E22" s="499"/>
      <c r="F22" s="500"/>
      <c r="G22" s="42"/>
    </row>
    <row r="23" spans="1:7" ht="15.75">
      <c r="A23" s="296" t="s">
        <v>579</v>
      </c>
      <c r="B23" s="313"/>
      <c r="C23" s="455">
        <v>7130</v>
      </c>
      <c r="D23" s="456"/>
      <c r="E23" s="455">
        <v>6930</v>
      </c>
      <c r="F23" s="456"/>
      <c r="G23" s="9">
        <v>6730</v>
      </c>
    </row>
    <row r="24" spans="1:7" ht="15.75">
      <c r="A24" s="296" t="s">
        <v>576</v>
      </c>
      <c r="B24" s="313"/>
      <c r="C24" s="455"/>
      <c r="D24" s="456"/>
      <c r="E24" s="455">
        <v>0</v>
      </c>
      <c r="F24" s="456"/>
      <c r="G24" s="9">
        <v>950</v>
      </c>
    </row>
    <row r="25" spans="1:7" ht="15.75">
      <c r="A25" s="296"/>
      <c r="B25" s="313"/>
      <c r="C25" s="455"/>
      <c r="D25" s="456"/>
      <c r="E25" s="455"/>
      <c r="F25" s="456"/>
      <c r="G25" s="9"/>
    </row>
    <row r="26" spans="1:7" ht="15.75">
      <c r="A26" s="296"/>
      <c r="B26" s="313"/>
      <c r="C26" s="455"/>
      <c r="D26" s="456"/>
      <c r="E26" s="455"/>
      <c r="F26" s="456"/>
      <c r="G26" s="9"/>
    </row>
    <row r="27" spans="1:7" ht="15.75">
      <c r="A27" s="296"/>
      <c r="B27" s="313"/>
      <c r="C27" s="455"/>
      <c r="D27" s="456"/>
      <c r="E27" s="455"/>
      <c r="F27" s="456"/>
      <c r="G27" s="9"/>
    </row>
    <row r="28" spans="1:7" ht="15.75">
      <c r="A28" s="314" t="s">
        <v>25</v>
      </c>
      <c r="B28" s="312"/>
      <c r="C28" s="455"/>
      <c r="D28" s="456"/>
      <c r="E28" s="455"/>
      <c r="F28" s="456"/>
      <c r="G28" s="262">
        <f>nhood!E8</f>
      </c>
    </row>
    <row r="29" spans="1:7" ht="15.75">
      <c r="A29" s="314" t="s">
        <v>26</v>
      </c>
      <c r="B29" s="312"/>
      <c r="C29" s="455"/>
      <c r="D29" s="456"/>
      <c r="E29" s="455">
        <v>585</v>
      </c>
      <c r="F29" s="456"/>
      <c r="G29" s="308">
        <v>50</v>
      </c>
    </row>
    <row r="30" spans="1:7" ht="15.75">
      <c r="A30" s="314" t="s">
        <v>27</v>
      </c>
      <c r="B30" s="312"/>
      <c r="C30" s="475">
        <f>IF(C31*0.1&lt;C29,"Exceed 10% Rule","")</f>
      </c>
      <c r="D30" s="476"/>
      <c r="E30" s="475">
        <f>IF(E31*0.1&lt;E29,"Exceed 10% Rule","")</f>
      </c>
      <c r="F30" s="476"/>
      <c r="G30" s="348">
        <f>IF(G31*0.1&lt;G29,"Exceed 10% Rule","")</f>
      </c>
    </row>
    <row r="31" spans="1:7" ht="15.75">
      <c r="A31" s="153" t="s">
        <v>172</v>
      </c>
      <c r="B31" s="312"/>
      <c r="C31" s="479">
        <f>SUM(C23:C29)</f>
        <v>7130</v>
      </c>
      <c r="D31" s="480"/>
      <c r="E31" s="479">
        <f>SUM(E23:E29)</f>
        <v>7515</v>
      </c>
      <c r="F31" s="480"/>
      <c r="G31" s="263">
        <f>SUM(G23:G29)</f>
        <v>7730</v>
      </c>
    </row>
    <row r="32" spans="1:7" ht="15.75">
      <c r="A32" s="37" t="s">
        <v>290</v>
      </c>
      <c r="B32" s="312"/>
      <c r="C32" s="457">
        <f>C21-C31</f>
        <v>645</v>
      </c>
      <c r="D32" s="458"/>
      <c r="E32" s="457">
        <f>E21-E31</f>
        <v>195.59000000000015</v>
      </c>
      <c r="F32" s="458"/>
      <c r="G32" s="97" t="s">
        <v>144</v>
      </c>
    </row>
    <row r="33" spans="1:8" ht="15.75">
      <c r="A33" s="23" t="str">
        <f>CONCATENATE("",G1-2,"/",G1-1," Budget Authority Amount:")</f>
        <v>2008/2009 Budget Authority Amount:</v>
      </c>
      <c r="B33" s="331">
        <f>inputOth!B61</f>
        <v>7330</v>
      </c>
      <c r="C33" s="331">
        <f>inputPrYr!D19</f>
        <v>7970</v>
      </c>
      <c r="D33" s="468" t="s">
        <v>76</v>
      </c>
      <c r="E33" s="469"/>
      <c r="F33" s="470"/>
      <c r="G33" s="9"/>
      <c r="H33" s="291">
        <f>IF(G31/0.95-G31&lt;G33,"Exceeds 5%","")</f>
      </c>
    </row>
    <row r="34" spans="1:7" ht="15.75">
      <c r="A34" s="23" t="str">
        <f>CONCATENATE("Violation of Budget Law for ",G1-2,"/",G1-1,":")</f>
        <v>Violation of Budget Law for 2008/2009:</v>
      </c>
      <c r="B34" s="332" t="str">
        <f>IF(C31&gt;B33,"Yes","No")</f>
        <v>No</v>
      </c>
      <c r="C34" s="332" t="str">
        <f>IF(E31&gt;C33,"Yes","No")</f>
        <v>No</v>
      </c>
      <c r="D34" s="21"/>
      <c r="E34" s="471" t="s">
        <v>77</v>
      </c>
      <c r="F34" s="472"/>
      <c r="G34" s="85">
        <f>G31+G33</f>
        <v>7730</v>
      </c>
    </row>
    <row r="35" spans="1:7" ht="15.75">
      <c r="A35" s="23" t="str">
        <f>CONCATENATE("Possible Cash Violation for ",G1-2,":")</f>
        <v>Possible Cash Violation for 2008:</v>
      </c>
      <c r="B35" s="332" t="str">
        <f>IF(C32&lt;0,"Yes","No")</f>
        <v>No</v>
      </c>
      <c r="C35" s="332"/>
      <c r="D35" s="21"/>
      <c r="E35" s="471" t="s">
        <v>173</v>
      </c>
      <c r="F35" s="472"/>
      <c r="G35" s="262">
        <f>IF(G34-G21&gt;0,G34-G21,0)</f>
        <v>6683.41</v>
      </c>
    </row>
    <row r="36" spans="1:7" ht="15.75">
      <c r="A36" s="24"/>
      <c r="B36" s="24"/>
      <c r="C36" s="473" t="s">
        <v>78</v>
      </c>
      <c r="D36" s="474"/>
      <c r="E36" s="474"/>
      <c r="F36" s="230">
        <f>(inputOth!$E$46)</f>
        <v>0</v>
      </c>
      <c r="G36" s="85">
        <f>ROUND(IF(F36&gt;0,(G35*F36),0),0)</f>
        <v>0</v>
      </c>
    </row>
    <row r="37" spans="1:7" ht="15.75">
      <c r="A37" s="24"/>
      <c r="B37" s="24"/>
      <c r="C37" s="465" t="str">
        <f>CONCATENATE("Amount of  ",$G$1-1," Ad Valorem Tax")</f>
        <v>Amount of  2009 Ad Valorem Tax</v>
      </c>
      <c r="D37" s="466"/>
      <c r="E37" s="466"/>
      <c r="F37" s="467"/>
      <c r="G37" s="387">
        <f>G35+G36</f>
        <v>6683.41</v>
      </c>
    </row>
    <row r="38" spans="1:7" ht="15.75">
      <c r="A38" s="21"/>
      <c r="B38" s="21"/>
      <c r="C38" s="465"/>
      <c r="D38" s="465"/>
      <c r="E38" s="501"/>
      <c r="F38" s="386"/>
      <c r="G38" s="106"/>
    </row>
    <row r="39" spans="1:7" ht="15.75">
      <c r="A39" s="25" t="s">
        <v>156</v>
      </c>
      <c r="B39" s="25"/>
      <c r="C39" s="96"/>
      <c r="D39" s="96"/>
      <c r="E39" s="96"/>
      <c r="F39" s="96"/>
      <c r="G39" s="96"/>
    </row>
    <row r="40" spans="1:7" ht="15.75">
      <c r="A40" s="21"/>
      <c r="B40" s="21"/>
      <c r="C40" s="485" t="s">
        <v>180</v>
      </c>
      <c r="D40" s="486"/>
      <c r="E40" s="481" t="s">
        <v>317</v>
      </c>
      <c r="F40" s="482"/>
      <c r="G40" s="33" t="s">
        <v>318</v>
      </c>
    </row>
    <row r="41" spans="1:7" ht="15.75">
      <c r="A41" s="138" t="str">
        <f>(inputPrYr!B20)</f>
        <v>Employee Benefit Fund</v>
      </c>
      <c r="B41" s="138"/>
      <c r="C41" s="483">
        <f>G1-2</f>
        <v>2008</v>
      </c>
      <c r="D41" s="484"/>
      <c r="E41" s="483">
        <f>G1-1</f>
        <v>2009</v>
      </c>
      <c r="F41" s="484"/>
      <c r="G41" s="147">
        <f>G1</f>
        <v>2010</v>
      </c>
    </row>
    <row r="42" spans="1:7" ht="15.75">
      <c r="A42" s="306" t="s">
        <v>289</v>
      </c>
      <c r="B42" s="312"/>
      <c r="C42" s="455">
        <v>325676</v>
      </c>
      <c r="D42" s="456"/>
      <c r="E42" s="461">
        <f>C68</f>
        <v>334369</v>
      </c>
      <c r="F42" s="462"/>
      <c r="G42" s="85">
        <f>E68</f>
        <v>175198</v>
      </c>
    </row>
    <row r="43" spans="1:7" ht="15.75">
      <c r="A43" s="311" t="s">
        <v>291</v>
      </c>
      <c r="B43" s="312"/>
      <c r="C43" s="463"/>
      <c r="D43" s="464"/>
      <c r="E43" s="463"/>
      <c r="F43" s="464"/>
      <c r="G43" s="40"/>
    </row>
    <row r="44" spans="1:7" ht="15.75">
      <c r="A44" s="37" t="s">
        <v>157</v>
      </c>
      <c r="B44" s="312"/>
      <c r="C44" s="455">
        <v>680623</v>
      </c>
      <c r="D44" s="456"/>
      <c r="E44" s="461">
        <f>inputPrYr!E20</f>
        <v>786485</v>
      </c>
      <c r="F44" s="462"/>
      <c r="G44" s="97" t="s">
        <v>144</v>
      </c>
    </row>
    <row r="45" spans="1:7" ht="15.75">
      <c r="A45" s="37" t="s">
        <v>158</v>
      </c>
      <c r="B45" s="312"/>
      <c r="C45" s="455">
        <v>17312</v>
      </c>
      <c r="D45" s="456"/>
      <c r="E45" s="455"/>
      <c r="F45" s="456"/>
      <c r="G45" s="9"/>
    </row>
    <row r="46" spans="1:7" ht="15.75">
      <c r="A46" s="37" t="s">
        <v>159</v>
      </c>
      <c r="B46" s="312"/>
      <c r="C46" s="455">
        <v>97479</v>
      </c>
      <c r="D46" s="456"/>
      <c r="E46" s="455">
        <v>85109</v>
      </c>
      <c r="F46" s="456"/>
      <c r="G46" s="85">
        <f>mvalloc!C10</f>
        <v>96251</v>
      </c>
    </row>
    <row r="47" spans="1:7" ht="15.75">
      <c r="A47" s="37" t="s">
        <v>160</v>
      </c>
      <c r="B47" s="312"/>
      <c r="C47" s="455">
        <v>1463</v>
      </c>
      <c r="D47" s="456"/>
      <c r="E47" s="455">
        <v>1519</v>
      </c>
      <c r="F47" s="456"/>
      <c r="G47" s="85">
        <f>mvalloc!D10</f>
        <v>1537</v>
      </c>
    </row>
    <row r="48" spans="1:7" ht="15.75">
      <c r="A48" s="316" t="s">
        <v>266</v>
      </c>
      <c r="B48" s="312"/>
      <c r="C48" s="455">
        <f>739-739</f>
        <v>0</v>
      </c>
      <c r="D48" s="456"/>
      <c r="E48" s="455">
        <v>653</v>
      </c>
      <c r="F48" s="456"/>
      <c r="G48" s="85">
        <f>mvalloc!E10</f>
        <v>629</v>
      </c>
    </row>
    <row r="49" spans="1:7" ht="15.75">
      <c r="A49" s="317" t="s">
        <v>337</v>
      </c>
      <c r="B49" s="312"/>
      <c r="C49" s="455"/>
      <c r="D49" s="456"/>
      <c r="E49" s="455">
        <v>4314</v>
      </c>
      <c r="F49" s="456"/>
      <c r="G49" s="85">
        <f>mvalloc!F10</f>
        <v>0</v>
      </c>
    </row>
    <row r="50" spans="1:7" ht="15.75">
      <c r="A50" s="296" t="s">
        <v>578</v>
      </c>
      <c r="B50" s="313"/>
      <c r="C50" s="455">
        <v>2476</v>
      </c>
      <c r="D50" s="456"/>
      <c r="E50" s="455">
        <v>2000</v>
      </c>
      <c r="F50" s="456"/>
      <c r="G50" s="9"/>
    </row>
    <row r="51" spans="1:7" ht="15.75">
      <c r="A51" s="307" t="s">
        <v>164</v>
      </c>
      <c r="B51" s="313"/>
      <c r="C51" s="455"/>
      <c r="D51" s="456"/>
      <c r="E51" s="455"/>
      <c r="F51" s="456"/>
      <c r="G51" s="9"/>
    </row>
    <row r="52" spans="1:7" ht="15.75">
      <c r="A52" s="316" t="s">
        <v>26</v>
      </c>
      <c r="B52" s="312"/>
      <c r="C52" s="455">
        <v>1771</v>
      </c>
      <c r="D52" s="456"/>
      <c r="E52" s="455"/>
      <c r="F52" s="456"/>
      <c r="G52" s="308"/>
    </row>
    <row r="53" spans="1:7" ht="15.75">
      <c r="A53" s="306" t="s">
        <v>28</v>
      </c>
      <c r="B53" s="312"/>
      <c r="C53" s="475">
        <f>IF(C54*0.1&lt;C52,"Exceed 10% Rule","")</f>
      </c>
      <c r="D53" s="476"/>
      <c r="E53" s="475">
        <f>IF(E54*0.1&lt;E52,"Exceed 10% Rule","")</f>
      </c>
      <c r="F53" s="476"/>
      <c r="G53" s="348">
        <f>IF(G54*0.1+G73&lt;G52,"Exceed 10% Rule","")</f>
      </c>
    </row>
    <row r="54" spans="1:7" ht="15.75">
      <c r="A54" s="153" t="s">
        <v>165</v>
      </c>
      <c r="B54" s="312"/>
      <c r="C54" s="479">
        <f>SUM(C44:C52)</f>
        <v>801124</v>
      </c>
      <c r="D54" s="480"/>
      <c r="E54" s="479">
        <f>SUM(E44:E52)</f>
        <v>880080</v>
      </c>
      <c r="F54" s="480"/>
      <c r="G54" s="263">
        <f>SUM(G44:G52)</f>
        <v>98417</v>
      </c>
    </row>
    <row r="55" spans="1:7" ht="15.75">
      <c r="A55" s="153" t="s">
        <v>166</v>
      </c>
      <c r="B55" s="312"/>
      <c r="C55" s="479">
        <f>C42+C54</f>
        <v>1126800</v>
      </c>
      <c r="D55" s="480"/>
      <c r="E55" s="479">
        <f>E42+E54</f>
        <v>1214449</v>
      </c>
      <c r="F55" s="480"/>
      <c r="G55" s="263">
        <f>G42+G54</f>
        <v>273615</v>
      </c>
    </row>
    <row r="56" spans="1:7" ht="15.75">
      <c r="A56" s="37" t="s">
        <v>168</v>
      </c>
      <c r="B56" s="312"/>
      <c r="C56" s="499"/>
      <c r="D56" s="500"/>
      <c r="E56" s="499"/>
      <c r="F56" s="500"/>
      <c r="G56" s="42"/>
    </row>
    <row r="57" spans="1:7" ht="15.75">
      <c r="A57" s="296" t="s">
        <v>586</v>
      </c>
      <c r="B57" s="313"/>
      <c r="C57" s="455">
        <f>117274+27433</f>
        <v>144707</v>
      </c>
      <c r="D57" s="456"/>
      <c r="E57" s="455">
        <v>162019</v>
      </c>
      <c r="F57" s="456"/>
      <c r="G57" s="9">
        <v>163453</v>
      </c>
    </row>
    <row r="58" spans="1:7" ht="15.75">
      <c r="A58" s="296" t="s">
        <v>581</v>
      </c>
      <c r="B58" s="313"/>
      <c r="C58" s="455">
        <v>421321</v>
      </c>
      <c r="D58" s="456"/>
      <c r="E58" s="455">
        <v>609548</v>
      </c>
      <c r="F58" s="456"/>
      <c r="G58" s="9">
        <v>667967</v>
      </c>
    </row>
    <row r="59" spans="1:7" ht="15.75">
      <c r="A59" s="296" t="s">
        <v>582</v>
      </c>
      <c r="B59" s="313"/>
      <c r="C59" s="455">
        <v>54523</v>
      </c>
      <c r="D59" s="456"/>
      <c r="E59" s="455">
        <v>78671</v>
      </c>
      <c r="F59" s="456"/>
      <c r="G59" s="9">
        <v>88128</v>
      </c>
    </row>
    <row r="60" spans="1:7" ht="15.75">
      <c r="A60" s="296" t="s">
        <v>583</v>
      </c>
      <c r="B60" s="313"/>
      <c r="C60" s="455">
        <v>5839</v>
      </c>
      <c r="D60" s="456"/>
      <c r="E60" s="455">
        <v>5399</v>
      </c>
      <c r="F60" s="456"/>
      <c r="G60" s="9">
        <v>2094</v>
      </c>
    </row>
    <row r="61" spans="1:7" ht="15.75">
      <c r="A61" s="296" t="s">
        <v>584</v>
      </c>
      <c r="B61" s="313"/>
      <c r="C61" s="453">
        <v>60814</v>
      </c>
      <c r="D61" s="454"/>
      <c r="E61" s="372"/>
      <c r="F61" s="404">
        <v>60000</v>
      </c>
      <c r="G61" s="9">
        <v>65000</v>
      </c>
    </row>
    <row r="62" spans="1:7" ht="15.75">
      <c r="A62" s="296" t="s">
        <v>585</v>
      </c>
      <c r="B62" s="313"/>
      <c r="C62" s="455">
        <v>102725</v>
      </c>
      <c r="D62" s="456"/>
      <c r="E62" s="455">
        <v>123614</v>
      </c>
      <c r="F62" s="456"/>
      <c r="G62" s="9">
        <v>116042</v>
      </c>
    </row>
    <row r="63" spans="1:7" ht="15.75">
      <c r="A63" s="296" t="s">
        <v>786</v>
      </c>
      <c r="B63" s="313"/>
      <c r="C63" s="453">
        <v>2500</v>
      </c>
      <c r="D63" s="454"/>
      <c r="E63" s="372"/>
      <c r="F63" s="404"/>
      <c r="G63" s="9"/>
    </row>
    <row r="64" spans="1:7" ht="15.75">
      <c r="A64" s="314" t="s">
        <v>25</v>
      </c>
      <c r="B64" s="312"/>
      <c r="C64" s="455">
        <v>0</v>
      </c>
      <c r="D64" s="456"/>
      <c r="E64" s="455"/>
      <c r="F64" s="456"/>
      <c r="G64" s="262">
        <f>nhood!E9</f>
      </c>
    </row>
    <row r="65" spans="1:7" ht="15.75">
      <c r="A65" s="314" t="s">
        <v>26</v>
      </c>
      <c r="B65" s="312"/>
      <c r="C65" s="455">
        <v>2</v>
      </c>
      <c r="D65" s="456"/>
      <c r="E65" s="455"/>
      <c r="F65" s="456"/>
      <c r="G65" s="308">
        <v>1200</v>
      </c>
    </row>
    <row r="66" spans="1:7" ht="15.75">
      <c r="A66" s="314" t="s">
        <v>27</v>
      </c>
      <c r="B66" s="312"/>
      <c r="C66" s="475">
        <f>IF(C67*0.1&lt;C65,"Exceed 10% Rule","")</f>
      </c>
      <c r="D66" s="476"/>
      <c r="E66" s="475">
        <f>IF(E67*0.1&lt;E65,"Exceed 10% Rule","")</f>
      </c>
      <c r="F66" s="476"/>
      <c r="G66" s="348">
        <f>IF(G67*0.1&lt;G65,"Exceed 10% Rule","")</f>
      </c>
    </row>
    <row r="67" spans="1:7" ht="15.75">
      <c r="A67" s="153" t="s">
        <v>172</v>
      </c>
      <c r="B67" s="312"/>
      <c r="C67" s="479">
        <f>SUM(C57:C65)</f>
        <v>792431</v>
      </c>
      <c r="D67" s="480"/>
      <c r="E67" s="479">
        <f>SUM(E57:F65)</f>
        <v>1039251</v>
      </c>
      <c r="F67" s="480"/>
      <c r="G67" s="263">
        <f>SUM(G57:G65)</f>
        <v>1103884</v>
      </c>
    </row>
    <row r="68" spans="1:7" ht="15.75">
      <c r="A68" s="37" t="s">
        <v>290</v>
      </c>
      <c r="B68" s="312"/>
      <c r="C68" s="457">
        <f>C55-C67</f>
        <v>334369</v>
      </c>
      <c r="D68" s="458"/>
      <c r="E68" s="457">
        <f>E55-E67</f>
        <v>175198</v>
      </c>
      <c r="F68" s="458"/>
      <c r="G68" s="97" t="s">
        <v>144</v>
      </c>
    </row>
    <row r="69" spans="1:8" ht="15.75">
      <c r="A69" s="23" t="str">
        <f>CONCATENATE("",G1-2,"/",G1-1," Budget Authority Amount:")</f>
        <v>2008/2009 Budget Authority Amount:</v>
      </c>
      <c r="B69" s="331">
        <f>inputOth!B62</f>
        <v>974489</v>
      </c>
      <c r="C69" s="331">
        <f>inputPrYr!D20</f>
        <v>1039251</v>
      </c>
      <c r="D69" s="468" t="s">
        <v>76</v>
      </c>
      <c r="E69" s="469"/>
      <c r="F69" s="470"/>
      <c r="G69" s="9"/>
      <c r="H69" s="291">
        <f>IF(G67/0.95-G67&lt;G69,"Exceeds 5%","")</f>
      </c>
    </row>
    <row r="70" spans="1:7" ht="15.75">
      <c r="A70" s="23" t="str">
        <f>CONCATENATE("Violation of Budget Law for ",G1-2,"/",G1-1,":")</f>
        <v>Violation of Budget Law for 2008/2009:</v>
      </c>
      <c r="B70" s="332" t="str">
        <f>IF(C67&gt;B69,"Yes","No")</f>
        <v>No</v>
      </c>
      <c r="C70" s="332" t="str">
        <f>IF(E67&gt;C69,"Yes","No")</f>
        <v>No</v>
      </c>
      <c r="D70" s="21"/>
      <c r="E70" s="471" t="s">
        <v>77</v>
      </c>
      <c r="F70" s="472"/>
      <c r="G70" s="85">
        <f>G67+G69</f>
        <v>1103884</v>
      </c>
    </row>
    <row r="71" spans="1:7" ht="15.75">
      <c r="A71" s="23" t="str">
        <f>CONCATENATE("Possible Cash Violation for ",G1-2,":")</f>
        <v>Possible Cash Violation for 2008:</v>
      </c>
      <c r="B71" s="332" t="str">
        <f>IF(C68&lt;0,"Yes","No")</f>
        <v>No</v>
      </c>
      <c r="C71" s="332"/>
      <c r="D71" s="21"/>
      <c r="E71" s="471" t="s">
        <v>173</v>
      </c>
      <c r="F71" s="472"/>
      <c r="G71" s="262">
        <f>IF(G70-G55&gt;0,G70-G55,0)</f>
        <v>830269</v>
      </c>
    </row>
    <row r="72" spans="1:7" ht="15.75">
      <c r="A72" s="24"/>
      <c r="B72" s="24"/>
      <c r="C72" s="473" t="s">
        <v>78</v>
      </c>
      <c r="D72" s="474"/>
      <c r="E72" s="474"/>
      <c r="F72" s="230">
        <f>(inputOth!$E$46)</f>
        <v>0</v>
      </c>
      <c r="G72" s="85">
        <f>ROUND(IF(F72&gt;0,(G71*F72),0),0)</f>
        <v>0</v>
      </c>
    </row>
    <row r="73" spans="1:7" ht="15.75">
      <c r="A73" s="21"/>
      <c r="B73" s="21"/>
      <c r="C73" s="465" t="str">
        <f>CONCATENATE("Amount of  ",$G$1-1," Ad Valorem Tax")</f>
        <v>Amount of  2009 Ad Valorem Tax</v>
      </c>
      <c r="D73" s="466"/>
      <c r="E73" s="466"/>
      <c r="F73" s="467"/>
      <c r="G73" s="387">
        <f>G71+G72</f>
        <v>830269</v>
      </c>
    </row>
    <row r="74" spans="1:7" ht="15.75">
      <c r="A74" s="24"/>
      <c r="B74" s="24" t="s">
        <v>175</v>
      </c>
      <c r="C74" s="100">
        <v>9</v>
      </c>
      <c r="D74" s="137"/>
      <c r="E74" s="21"/>
      <c r="F74" s="21"/>
      <c r="G74" s="21"/>
    </row>
    <row r="75" spans="1:2" ht="15.75">
      <c r="A75" s="2"/>
      <c r="B75" s="2"/>
    </row>
  </sheetData>
  <sheetProtection/>
  <mergeCells count="123">
    <mergeCell ref="C61:D61"/>
    <mergeCell ref="C63:D63"/>
    <mergeCell ref="E6:F6"/>
    <mergeCell ref="E7:F7"/>
    <mergeCell ref="C19:D19"/>
    <mergeCell ref="C20:D20"/>
    <mergeCell ref="C9:D9"/>
    <mergeCell ref="C10:D10"/>
    <mergeCell ref="C11:D11"/>
    <mergeCell ref="C12:D12"/>
    <mergeCell ref="E10:F10"/>
    <mergeCell ref="C38:E38"/>
    <mergeCell ref="C5:D5"/>
    <mergeCell ref="C6:D6"/>
    <mergeCell ref="C7:D7"/>
    <mergeCell ref="C8:D8"/>
    <mergeCell ref="E5:F5"/>
    <mergeCell ref="C30:D30"/>
    <mergeCell ref="C15:D15"/>
    <mergeCell ref="C16:D16"/>
    <mergeCell ref="C17:D17"/>
    <mergeCell ref="E11:F11"/>
    <mergeCell ref="C13:D13"/>
    <mergeCell ref="C14:D14"/>
    <mergeCell ref="E20:F20"/>
    <mergeCell ref="C18:D18"/>
    <mergeCell ref="E30:F30"/>
    <mergeCell ref="E31:F31"/>
    <mergeCell ref="C25:D25"/>
    <mergeCell ref="E25:F25"/>
    <mergeCell ref="E12:F12"/>
    <mergeCell ref="E13:F13"/>
    <mergeCell ref="E14:F14"/>
    <mergeCell ref="E15:F15"/>
    <mergeCell ref="C21:D21"/>
    <mergeCell ref="E26:F26"/>
    <mergeCell ref="E32:F32"/>
    <mergeCell ref="E22:F22"/>
    <mergeCell ref="E8:F8"/>
    <mergeCell ref="E9:F9"/>
    <mergeCell ref="E21:F21"/>
    <mergeCell ref="E16:F16"/>
    <mergeCell ref="E17:F17"/>
    <mergeCell ref="E18:F18"/>
    <mergeCell ref="E23:F23"/>
    <mergeCell ref="E24:F24"/>
    <mergeCell ref="E42:F42"/>
    <mergeCell ref="E43:F43"/>
    <mergeCell ref="C40:D40"/>
    <mergeCell ref="C41:D41"/>
    <mergeCell ref="E40:F40"/>
    <mergeCell ref="E41:F41"/>
    <mergeCell ref="E44:F44"/>
    <mergeCell ref="C66:D66"/>
    <mergeCell ref="C67:D67"/>
    <mergeCell ref="C68:D68"/>
    <mergeCell ref="E66:F66"/>
    <mergeCell ref="E67:F67"/>
    <mergeCell ref="E68:F68"/>
    <mergeCell ref="C44:D44"/>
    <mergeCell ref="C45:D45"/>
    <mergeCell ref="C46:D46"/>
    <mergeCell ref="E27:F27"/>
    <mergeCell ref="E28:F28"/>
    <mergeCell ref="E29:F29"/>
    <mergeCell ref="C22:D22"/>
    <mergeCell ref="E19:F19"/>
    <mergeCell ref="C26:D26"/>
    <mergeCell ref="C27:D27"/>
    <mergeCell ref="C23:D23"/>
    <mergeCell ref="C24:D24"/>
    <mergeCell ref="C47:D47"/>
    <mergeCell ref="C48:D48"/>
    <mergeCell ref="C49:D49"/>
    <mergeCell ref="C50:D50"/>
    <mergeCell ref="C28:D28"/>
    <mergeCell ref="C29:D29"/>
    <mergeCell ref="C42:D42"/>
    <mergeCell ref="C43:D43"/>
    <mergeCell ref="C31:D31"/>
    <mergeCell ref="C32:D32"/>
    <mergeCell ref="E45:F45"/>
    <mergeCell ref="E46:F46"/>
    <mergeCell ref="E47:F47"/>
    <mergeCell ref="E48:F48"/>
    <mergeCell ref="E49:F49"/>
    <mergeCell ref="E50:F50"/>
    <mergeCell ref="C55:D55"/>
    <mergeCell ref="C56:D56"/>
    <mergeCell ref="E53:F53"/>
    <mergeCell ref="E54:F54"/>
    <mergeCell ref="C51:D51"/>
    <mergeCell ref="C52:D52"/>
    <mergeCell ref="C59:D59"/>
    <mergeCell ref="C60:D60"/>
    <mergeCell ref="C62:D62"/>
    <mergeCell ref="C64:D64"/>
    <mergeCell ref="E51:F51"/>
    <mergeCell ref="E52:F52"/>
    <mergeCell ref="C57:D57"/>
    <mergeCell ref="C58:D58"/>
    <mergeCell ref="C53:D53"/>
    <mergeCell ref="C54:D54"/>
    <mergeCell ref="D33:F33"/>
    <mergeCell ref="E34:F34"/>
    <mergeCell ref="E35:F35"/>
    <mergeCell ref="C65:D65"/>
    <mergeCell ref="E57:F57"/>
    <mergeCell ref="E58:F58"/>
    <mergeCell ref="E59:F59"/>
    <mergeCell ref="E60:F60"/>
    <mergeCell ref="E62:F62"/>
    <mergeCell ref="E64:F64"/>
    <mergeCell ref="C73:F73"/>
    <mergeCell ref="C36:E36"/>
    <mergeCell ref="C37:F37"/>
    <mergeCell ref="D69:F69"/>
    <mergeCell ref="E70:F70"/>
    <mergeCell ref="E71:F71"/>
    <mergeCell ref="C72:E72"/>
    <mergeCell ref="E55:F55"/>
    <mergeCell ref="E56:F56"/>
    <mergeCell ref="E65:F65"/>
  </mergeCells>
  <conditionalFormatting sqref="G65">
    <cfRule type="cellIs" priority="1" dxfId="245" operator="greaterThan" stopIfTrue="1">
      <formula>$G$67*0.1</formula>
    </cfRule>
  </conditionalFormatting>
  <conditionalFormatting sqref="G69">
    <cfRule type="cellIs" priority="2" dxfId="245" operator="greaterThan" stopIfTrue="1">
      <formula>$G$67/0.95-$G$67</formula>
    </cfRule>
  </conditionalFormatting>
  <conditionalFormatting sqref="G29">
    <cfRule type="cellIs" priority="3" dxfId="245" operator="greaterThan" stopIfTrue="1">
      <formula>$G$31*0.1</formula>
    </cfRule>
  </conditionalFormatting>
  <conditionalFormatting sqref="G33">
    <cfRule type="cellIs" priority="4" dxfId="245" operator="greaterThan" stopIfTrue="1">
      <formula>$G$31/0.95-$G$31</formula>
    </cfRule>
  </conditionalFormatting>
  <conditionalFormatting sqref="C29:D29">
    <cfRule type="cellIs" priority="5" dxfId="0" operator="greaterThan" stopIfTrue="1">
      <formula>$C$31*0.1</formula>
    </cfRule>
  </conditionalFormatting>
  <conditionalFormatting sqref="E29:F29">
    <cfRule type="cellIs" priority="6" dxfId="0" operator="greaterThan" stopIfTrue="1">
      <formula>$E$31*0.1</formula>
    </cfRule>
  </conditionalFormatting>
  <conditionalFormatting sqref="E31:F31">
    <cfRule type="cellIs" priority="7" dxfId="0" operator="greaterThan" stopIfTrue="1">
      <formula>$C$33</formula>
    </cfRule>
  </conditionalFormatting>
  <conditionalFormatting sqref="C31:D31">
    <cfRule type="cellIs" priority="8" dxfId="0" operator="greaterThan" stopIfTrue="1">
      <formula>$B$33</formula>
    </cfRule>
  </conditionalFormatting>
  <conditionalFormatting sqref="C68:D68 C32:D32">
    <cfRule type="cellIs" priority="9" dxfId="0" operator="lessThan" stopIfTrue="1">
      <formula>0</formula>
    </cfRule>
  </conditionalFormatting>
  <conditionalFormatting sqref="C65:D65">
    <cfRule type="cellIs" priority="10" dxfId="0" operator="greaterThan" stopIfTrue="1">
      <formula>$C$67*0.1</formula>
    </cfRule>
  </conditionalFormatting>
  <conditionalFormatting sqref="E65:F65">
    <cfRule type="cellIs" priority="11" dxfId="0" operator="greaterThan" stopIfTrue="1">
      <formula>$E$67*0.1</formula>
    </cfRule>
  </conditionalFormatting>
  <conditionalFormatting sqref="E67:F67">
    <cfRule type="cellIs" priority="12" dxfId="0" operator="greaterThan" stopIfTrue="1">
      <formula>$C$69</formula>
    </cfRule>
  </conditionalFormatting>
  <conditionalFormatting sqref="C67:D67">
    <cfRule type="cellIs" priority="13" dxfId="0" operator="greaterThan" stopIfTrue="1">
      <formula>$B$69</formula>
    </cfRule>
  </conditionalFormatting>
  <conditionalFormatting sqref="E18:F18">
    <cfRule type="cellIs" priority="14" dxfId="0" operator="greaterThan" stopIfTrue="1">
      <formula>$E$20*0.1</formula>
    </cfRule>
  </conditionalFormatting>
  <conditionalFormatting sqref="C18:D18">
    <cfRule type="cellIs" priority="15" dxfId="0" operator="greaterThan" stopIfTrue="1">
      <formula>$C$20*0.1</formula>
    </cfRule>
  </conditionalFormatting>
  <conditionalFormatting sqref="E52:F52">
    <cfRule type="cellIs" priority="16" dxfId="0" operator="greaterThan" stopIfTrue="1">
      <formula>$E$54*0.1</formula>
    </cfRule>
  </conditionalFormatting>
  <conditionalFormatting sqref="C52:D52">
    <cfRule type="cellIs" priority="17" dxfId="0" operator="greaterThan" stopIfTrue="1">
      <formula>$C$54*0.1</formula>
    </cfRule>
  </conditionalFormatting>
  <conditionalFormatting sqref="G18">
    <cfRule type="cellIs" priority="18" dxfId="245" operator="greaterThan" stopIfTrue="1">
      <formula>$G$20*0.1+G37</formula>
    </cfRule>
  </conditionalFormatting>
  <conditionalFormatting sqref="G52">
    <cfRule type="cellIs" priority="19" dxfId="245" operator="greaterThan" stopIfTrue="1">
      <formula>$G$54*0.1+G73</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oddHeader>
    <oddFooter>&amp;Lrevised 8/21/08</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74"/>
  <sheetViews>
    <sheetView zoomScale="82" zoomScaleNormal="82" zoomScalePageLayoutView="0" workbookViewId="0" topLeftCell="A55">
      <selection activeCell="G72" sqref="G72"/>
    </sheetView>
  </sheetViews>
  <sheetFormatPr defaultColWidth="8.796875" defaultRowHeight="15"/>
  <cols>
    <col min="1" max="1" width="28.796875" style="7" customWidth="1"/>
    <col min="2" max="2" width="9.59765625" style="7" customWidth="1"/>
    <col min="3" max="3" width="10.3984375" style="7" customWidth="1"/>
    <col min="4" max="4" width="5.796875" style="7" customWidth="1"/>
    <col min="5" max="5" width="9.69921875" style="7" customWidth="1"/>
    <col min="6" max="6" width="6.69921875" style="7" customWidth="1"/>
    <col min="7" max="7" width="16.296875" style="7" customWidth="1"/>
    <col min="8" max="16384" width="8.8984375" style="7" customWidth="1"/>
  </cols>
  <sheetData>
    <row r="1" spans="1:7" ht="15.75">
      <c r="A1" s="72" t="str">
        <f>(inputPrYr!D2)</f>
        <v>CITY OF PARK CITY</v>
      </c>
      <c r="B1" s="72"/>
      <c r="C1" s="21"/>
      <c r="D1" s="21"/>
      <c r="E1" s="21"/>
      <c r="F1" s="21"/>
      <c r="G1" s="139">
        <f>inputPrYr!C5</f>
        <v>2010</v>
      </c>
    </row>
    <row r="2" spans="1:7" ht="15.75">
      <c r="A2" s="21"/>
      <c r="B2" s="21"/>
      <c r="C2" s="21"/>
      <c r="D2" s="21"/>
      <c r="E2" s="21"/>
      <c r="F2" s="21"/>
      <c r="G2" s="24"/>
    </row>
    <row r="3" spans="1:7" ht="15.75">
      <c r="A3" s="90" t="s">
        <v>233</v>
      </c>
      <c r="B3" s="90"/>
      <c r="C3" s="94"/>
      <c r="D3" s="94"/>
      <c r="E3" s="94"/>
      <c r="F3" s="94"/>
      <c r="G3" s="95"/>
    </row>
    <row r="4" spans="1:7" ht="15.75">
      <c r="A4" s="21"/>
      <c r="B4" s="21"/>
      <c r="C4" s="96"/>
      <c r="D4" s="96"/>
      <c r="E4" s="96"/>
      <c r="F4" s="96"/>
      <c r="G4" s="96"/>
    </row>
    <row r="5" spans="1:7" ht="15.75">
      <c r="A5" s="25" t="s">
        <v>156</v>
      </c>
      <c r="B5" s="25"/>
      <c r="C5" s="485" t="s">
        <v>180</v>
      </c>
      <c r="D5" s="486"/>
      <c r="E5" s="481" t="s">
        <v>317</v>
      </c>
      <c r="F5" s="482"/>
      <c r="G5" s="33" t="s">
        <v>318</v>
      </c>
    </row>
    <row r="6" spans="1:7" ht="15.75">
      <c r="A6" s="138" t="str">
        <f>inputPrYr!B21</f>
        <v>Library Fund</v>
      </c>
      <c r="B6" s="138"/>
      <c r="C6" s="483">
        <f>G1-2</f>
        <v>2008</v>
      </c>
      <c r="D6" s="484"/>
      <c r="E6" s="483">
        <f>G1-1</f>
        <v>2009</v>
      </c>
      <c r="F6" s="484"/>
      <c r="G6" s="147">
        <f>G1</f>
        <v>2010</v>
      </c>
    </row>
    <row r="7" spans="1:7" ht="15.75">
      <c r="A7" s="306" t="s">
        <v>289</v>
      </c>
      <c r="B7" s="312"/>
      <c r="C7" s="455"/>
      <c r="D7" s="456"/>
      <c r="E7" s="461">
        <f>C32</f>
        <v>0</v>
      </c>
      <c r="F7" s="462"/>
      <c r="G7" s="85">
        <f>E32</f>
        <v>71</v>
      </c>
    </row>
    <row r="8" spans="1:7" ht="15.75">
      <c r="A8" s="311" t="s">
        <v>291</v>
      </c>
      <c r="B8" s="312"/>
      <c r="C8" s="461"/>
      <c r="D8" s="462"/>
      <c r="E8" s="461"/>
      <c r="F8" s="462"/>
      <c r="G8" s="85"/>
    </row>
    <row r="9" spans="1:7" ht="15.75">
      <c r="A9" s="37" t="s">
        <v>157</v>
      </c>
      <c r="B9" s="312"/>
      <c r="C9" s="455"/>
      <c r="D9" s="456"/>
      <c r="E9" s="461">
        <f>inputPrYr!E21</f>
        <v>157971</v>
      </c>
      <c r="F9" s="462"/>
      <c r="G9" s="97" t="s">
        <v>144</v>
      </c>
    </row>
    <row r="10" spans="1:7" ht="15.75">
      <c r="A10" s="37" t="s">
        <v>158</v>
      </c>
      <c r="B10" s="312"/>
      <c r="C10" s="455"/>
      <c r="D10" s="456"/>
      <c r="E10" s="455">
        <v>2000</v>
      </c>
      <c r="F10" s="456"/>
      <c r="G10" s="9"/>
    </row>
    <row r="11" spans="1:7" ht="15.75">
      <c r="A11" s="37" t="s">
        <v>159</v>
      </c>
      <c r="B11" s="312"/>
      <c r="C11" s="455"/>
      <c r="D11" s="456"/>
      <c r="E11" s="455">
        <v>18128</v>
      </c>
      <c r="F11" s="456"/>
      <c r="G11" s="85">
        <f>mvalloc!C11</f>
        <v>19333</v>
      </c>
    </row>
    <row r="12" spans="1:7" ht="15.75">
      <c r="A12" s="37" t="s">
        <v>160</v>
      </c>
      <c r="B12" s="312"/>
      <c r="C12" s="455"/>
      <c r="D12" s="456"/>
      <c r="E12" s="455">
        <v>324</v>
      </c>
      <c r="F12" s="456"/>
      <c r="G12" s="85">
        <f>mvalloc!D11</f>
        <v>309</v>
      </c>
    </row>
    <row r="13" spans="1:7" ht="15.75">
      <c r="A13" s="316" t="s">
        <v>266</v>
      </c>
      <c r="B13" s="312"/>
      <c r="C13" s="455"/>
      <c r="D13" s="456"/>
      <c r="E13" s="455">
        <v>139</v>
      </c>
      <c r="F13" s="456"/>
      <c r="G13" s="85">
        <f>mvalloc!E11</f>
        <v>126</v>
      </c>
    </row>
    <row r="14" spans="1:7" ht="15.75">
      <c r="A14" s="317" t="s">
        <v>337</v>
      </c>
      <c r="B14" s="312"/>
      <c r="C14" s="455"/>
      <c r="D14" s="456"/>
      <c r="E14" s="455">
        <v>919</v>
      </c>
      <c r="F14" s="456"/>
      <c r="G14" s="85">
        <f>mvalloc!F11</f>
        <v>0</v>
      </c>
    </row>
    <row r="15" spans="1:7" ht="15.75">
      <c r="A15" s="296" t="s">
        <v>587</v>
      </c>
      <c r="B15" s="313"/>
      <c r="C15" s="455"/>
      <c r="D15" s="456"/>
      <c r="E15" s="455">
        <v>900</v>
      </c>
      <c r="F15" s="456"/>
      <c r="G15" s="9"/>
    </row>
    <row r="16" spans="1:7" ht="15.75">
      <c r="A16" s="296" t="s">
        <v>588</v>
      </c>
      <c r="B16" s="313"/>
      <c r="C16" s="455"/>
      <c r="D16" s="456"/>
      <c r="E16" s="455">
        <v>15000</v>
      </c>
      <c r="F16" s="456"/>
      <c r="G16" s="9">
        <v>15000</v>
      </c>
    </row>
    <row r="17" spans="1:7" ht="15.75">
      <c r="A17" s="307" t="s">
        <v>164</v>
      </c>
      <c r="B17" s="313"/>
      <c r="C17" s="455"/>
      <c r="D17" s="456"/>
      <c r="E17" s="455"/>
      <c r="F17" s="456"/>
      <c r="G17" s="9"/>
    </row>
    <row r="18" spans="1:7" ht="15.75">
      <c r="A18" s="316" t="s">
        <v>26</v>
      </c>
      <c r="B18" s="312"/>
      <c r="C18" s="455"/>
      <c r="D18" s="456"/>
      <c r="E18" s="455"/>
      <c r="F18" s="456"/>
      <c r="G18" s="308"/>
    </row>
    <row r="19" spans="1:7" ht="15.75">
      <c r="A19" s="306" t="s">
        <v>28</v>
      </c>
      <c r="B19" s="312"/>
      <c r="C19" s="475">
        <f>IF(C20*0.1&lt;C18,"Exceed 10% Rule","")</f>
      </c>
      <c r="D19" s="476"/>
      <c r="E19" s="475">
        <f>IF(E20*0.1&lt;E18,"Exceed 10% Rule","")</f>
      </c>
      <c r="F19" s="476"/>
      <c r="G19" s="348">
        <f>IF(G20*0.1+G37&lt;G18,"Exceed 10% Rule","")</f>
      </c>
    </row>
    <row r="20" spans="1:7" ht="15.75">
      <c r="A20" s="153" t="s">
        <v>165</v>
      </c>
      <c r="B20" s="312"/>
      <c r="C20" s="479">
        <f>SUM(C9:C18)</f>
        <v>0</v>
      </c>
      <c r="D20" s="480"/>
      <c r="E20" s="479">
        <f>SUM(E9:E18)</f>
        <v>195381</v>
      </c>
      <c r="F20" s="480"/>
      <c r="G20" s="263">
        <f>SUM(G9:G18)</f>
        <v>34768</v>
      </c>
    </row>
    <row r="21" spans="1:7" ht="15.75">
      <c r="A21" s="153" t="s">
        <v>166</v>
      </c>
      <c r="B21" s="312"/>
      <c r="C21" s="479">
        <f>C7+C20</f>
        <v>0</v>
      </c>
      <c r="D21" s="480"/>
      <c r="E21" s="479">
        <f>E7+E20</f>
        <v>195381</v>
      </c>
      <c r="F21" s="480"/>
      <c r="G21" s="263">
        <f>G7+G20</f>
        <v>34839</v>
      </c>
    </row>
    <row r="22" spans="1:8" ht="15.75">
      <c r="A22" s="37" t="s">
        <v>168</v>
      </c>
      <c r="B22" s="312"/>
      <c r="C22" s="499"/>
      <c r="D22" s="500"/>
      <c r="E22" s="499"/>
      <c r="F22" s="500"/>
      <c r="G22" s="42"/>
      <c r="H22" s="15"/>
    </row>
    <row r="23" spans="1:7" ht="15.75">
      <c r="A23" s="297" t="s">
        <v>589</v>
      </c>
      <c r="B23" s="313"/>
      <c r="C23" s="455"/>
      <c r="D23" s="456"/>
      <c r="E23" s="455">
        <v>195310</v>
      </c>
      <c r="F23" s="456"/>
      <c r="G23" s="17">
        <v>207813</v>
      </c>
    </row>
    <row r="24" spans="1:7" ht="15.75">
      <c r="A24" s="296"/>
      <c r="B24" s="313"/>
      <c r="C24" s="455"/>
      <c r="D24" s="456"/>
      <c r="E24" s="455"/>
      <c r="F24" s="456"/>
      <c r="G24" s="9"/>
    </row>
    <row r="25" spans="1:7" ht="15.75">
      <c r="A25" s="296" t="s">
        <v>765</v>
      </c>
      <c r="B25" s="313"/>
      <c r="C25" s="455"/>
      <c r="D25" s="456"/>
      <c r="E25" s="455"/>
      <c r="F25" s="456"/>
      <c r="G25" s="9">
        <v>15000</v>
      </c>
    </row>
    <row r="26" spans="1:7" ht="15.75">
      <c r="A26" s="296"/>
      <c r="B26" s="313"/>
      <c r="C26" s="455"/>
      <c r="D26" s="456"/>
      <c r="E26" s="455"/>
      <c r="F26" s="456"/>
      <c r="G26" s="9"/>
    </row>
    <row r="27" spans="1:9" ht="15.75">
      <c r="A27" s="296"/>
      <c r="B27" s="313"/>
      <c r="C27" s="455"/>
      <c r="D27" s="456"/>
      <c r="E27" s="455"/>
      <c r="F27" s="456"/>
      <c r="G27" s="9"/>
      <c r="I27" s="15"/>
    </row>
    <row r="28" spans="1:9" ht="15.75">
      <c r="A28" s="314" t="s">
        <v>25</v>
      </c>
      <c r="B28" s="312"/>
      <c r="C28" s="455"/>
      <c r="D28" s="456"/>
      <c r="E28" s="455"/>
      <c r="F28" s="456"/>
      <c r="G28" s="262">
        <f>nhood!E10</f>
      </c>
      <c r="I28" s="15"/>
    </row>
    <row r="29" spans="1:9" ht="15.75">
      <c r="A29" s="314" t="s">
        <v>26</v>
      </c>
      <c r="B29" s="312"/>
      <c r="C29" s="455"/>
      <c r="D29" s="456"/>
      <c r="E29" s="455">
        <v>0</v>
      </c>
      <c r="F29" s="456"/>
      <c r="G29" s="308"/>
      <c r="I29" s="15"/>
    </row>
    <row r="30" spans="1:9" ht="15.75">
      <c r="A30" s="314" t="s">
        <v>27</v>
      </c>
      <c r="B30" s="312"/>
      <c r="C30" s="475">
        <f>IF(C31*0.1&lt;C29,"Exceed 10% Rule","")</f>
      </c>
      <c r="D30" s="476"/>
      <c r="E30" s="475">
        <f>IF(E31*0.1&lt;E29,"Exceed 10% Rule","")</f>
      </c>
      <c r="F30" s="476"/>
      <c r="G30" s="348">
        <f>IF(G31*0.1&lt;G29,"Exceed 10% Rule","")</f>
      </c>
      <c r="I30" s="15"/>
    </row>
    <row r="31" spans="1:7" ht="15.75">
      <c r="A31" s="153" t="s">
        <v>172</v>
      </c>
      <c r="B31" s="312"/>
      <c r="C31" s="479">
        <f>SUM(C23:C29)</f>
        <v>0</v>
      </c>
      <c r="D31" s="480"/>
      <c r="E31" s="479">
        <f>SUM(E23:E29)</f>
        <v>195310</v>
      </c>
      <c r="F31" s="480"/>
      <c r="G31" s="263">
        <f>SUM(G23:G29)</f>
        <v>222813</v>
      </c>
    </row>
    <row r="32" spans="1:7" ht="15.75">
      <c r="A32" s="37" t="s">
        <v>290</v>
      </c>
      <c r="B32" s="312"/>
      <c r="C32" s="457">
        <f>C21-C31</f>
        <v>0</v>
      </c>
      <c r="D32" s="458"/>
      <c r="E32" s="457">
        <f>E21-E31</f>
        <v>71</v>
      </c>
      <c r="F32" s="458"/>
      <c r="G32" s="97" t="s">
        <v>144</v>
      </c>
    </row>
    <row r="33" spans="1:8" ht="15.75">
      <c r="A33" s="23" t="str">
        <f>CONCATENATE("",G1-2,"/",G1-1," Budget Authority Amount:")</f>
        <v>2008/2009 Budget Authority Amount:</v>
      </c>
      <c r="B33" s="331">
        <f>inputOth!B63</f>
        <v>191633</v>
      </c>
      <c r="C33" s="331">
        <f>inputPrYr!D21</f>
        <v>215022</v>
      </c>
      <c r="D33" s="468" t="s">
        <v>76</v>
      </c>
      <c r="E33" s="469"/>
      <c r="F33" s="470"/>
      <c r="G33" s="9"/>
      <c r="H33" s="291">
        <f>IF(G31/0.95-G31&lt;G33,"Exceeds 5%","")</f>
      </c>
    </row>
    <row r="34" spans="1:9" ht="15.75">
      <c r="A34" s="23" t="str">
        <f>CONCATENATE("Violation of Budget Law for ",G1-2,"/",G1-1,":")</f>
        <v>Violation of Budget Law for 2008/2009:</v>
      </c>
      <c r="B34" s="332" t="str">
        <f>IF(C31&gt;B33,"Yes","No")</f>
        <v>No</v>
      </c>
      <c r="C34" s="332" t="str">
        <f>IF(E31&gt;C33,"Yes","No")</f>
        <v>No</v>
      </c>
      <c r="D34" s="21"/>
      <c r="E34" s="471" t="s">
        <v>77</v>
      </c>
      <c r="F34" s="472"/>
      <c r="G34" s="85">
        <f>G31+G33</f>
        <v>222813</v>
      </c>
      <c r="I34" s="15"/>
    </row>
    <row r="35" spans="1:7" ht="15.75">
      <c r="A35" s="23" t="str">
        <f>CONCATENATE("Possible Cash Violation for ",G1-2,":")</f>
        <v>Possible Cash Violation for 2008:</v>
      </c>
      <c r="B35" s="332" t="str">
        <f>IF(C32&lt;0,"Yes","No")</f>
        <v>No</v>
      </c>
      <c r="C35" s="332"/>
      <c r="D35" s="21"/>
      <c r="E35" s="471" t="s">
        <v>173</v>
      </c>
      <c r="F35" s="472"/>
      <c r="G35" s="262">
        <f>IF(G34-G21&gt;0,G34-G21,0)</f>
        <v>187974</v>
      </c>
    </row>
    <row r="36" spans="1:7" ht="15.75">
      <c r="A36" s="24"/>
      <c r="B36" s="24"/>
      <c r="C36" s="473" t="s">
        <v>78</v>
      </c>
      <c r="D36" s="474"/>
      <c r="E36" s="474"/>
      <c r="F36" s="230">
        <f>(inputOth!$E$46)</f>
        <v>0</v>
      </c>
      <c r="G36" s="85">
        <f>ROUND(IF(F36&gt;0,(G35*F36),0),0)</f>
        <v>0</v>
      </c>
    </row>
    <row r="37" spans="1:7" ht="15.75">
      <c r="A37" s="24"/>
      <c r="B37" s="24"/>
      <c r="C37" s="465" t="str">
        <f>CONCATENATE("Amount of  ",$G$1-1," Ad Valorem Tax")</f>
        <v>Amount of  2009 Ad Valorem Tax</v>
      </c>
      <c r="D37" s="466"/>
      <c r="E37" s="466"/>
      <c r="F37" s="467"/>
      <c r="G37" s="387">
        <f>G35+G36</f>
        <v>187974</v>
      </c>
    </row>
    <row r="38" spans="1:7" ht="15.75">
      <c r="A38" s="21"/>
      <c r="B38" s="21"/>
      <c r="C38" s="465"/>
      <c r="D38" s="465"/>
      <c r="E38" s="501"/>
      <c r="F38" s="386"/>
      <c r="G38" s="106"/>
    </row>
    <row r="39" spans="1:7" ht="15.75">
      <c r="A39" s="25" t="s">
        <v>156</v>
      </c>
      <c r="B39" s="25"/>
      <c r="C39" s="96"/>
      <c r="D39" s="96"/>
      <c r="E39" s="96"/>
      <c r="F39" s="96"/>
      <c r="G39" s="96"/>
    </row>
    <row r="40" spans="1:7" ht="15.75">
      <c r="A40" s="21"/>
      <c r="B40" s="21"/>
      <c r="C40" s="485" t="s">
        <v>180</v>
      </c>
      <c r="D40" s="486"/>
      <c r="E40" s="481" t="s">
        <v>317</v>
      </c>
      <c r="F40" s="482"/>
      <c r="G40" s="33" t="s">
        <v>318</v>
      </c>
    </row>
    <row r="41" spans="1:7" ht="15.75">
      <c r="A41" s="138" t="str">
        <f>inputPrYr!B22</f>
        <v>Library Employee Benefits</v>
      </c>
      <c r="B41" s="138"/>
      <c r="C41" s="483">
        <f>G1-2</f>
        <v>2008</v>
      </c>
      <c r="D41" s="484"/>
      <c r="E41" s="483">
        <f>G1-1</f>
        <v>2009</v>
      </c>
      <c r="F41" s="484"/>
      <c r="G41" s="147">
        <f>G1</f>
        <v>2010</v>
      </c>
    </row>
    <row r="42" spans="1:7" ht="15.75">
      <c r="A42" s="306" t="s">
        <v>289</v>
      </c>
      <c r="B42" s="312"/>
      <c r="C42" s="455"/>
      <c r="D42" s="456"/>
      <c r="E42" s="461">
        <f>C67</f>
        <v>0</v>
      </c>
      <c r="F42" s="462"/>
      <c r="G42" s="85">
        <f>E67</f>
        <v>0</v>
      </c>
    </row>
    <row r="43" spans="1:7" ht="15.75">
      <c r="A43" s="311" t="s">
        <v>291</v>
      </c>
      <c r="B43" s="312"/>
      <c r="C43" s="463"/>
      <c r="D43" s="464"/>
      <c r="E43" s="463"/>
      <c r="F43" s="464"/>
      <c r="G43" s="40"/>
    </row>
    <row r="44" spans="1:7" ht="15.75">
      <c r="A44" s="37" t="s">
        <v>157</v>
      </c>
      <c r="B44" s="312"/>
      <c r="C44" s="455"/>
      <c r="D44" s="456"/>
      <c r="E44" s="461">
        <f>inputPrYr!E22</f>
        <v>25198</v>
      </c>
      <c r="F44" s="462"/>
      <c r="G44" s="97" t="s">
        <v>144</v>
      </c>
    </row>
    <row r="45" spans="1:7" ht="15.75">
      <c r="A45" s="37" t="s">
        <v>158</v>
      </c>
      <c r="B45" s="312"/>
      <c r="C45" s="455"/>
      <c r="D45" s="456"/>
      <c r="E45" s="455">
        <v>0</v>
      </c>
      <c r="F45" s="456"/>
      <c r="G45" s="9"/>
    </row>
    <row r="46" spans="1:7" ht="15.75">
      <c r="A46" s="37" t="s">
        <v>159</v>
      </c>
      <c r="B46" s="312"/>
      <c r="C46" s="455"/>
      <c r="D46" s="456"/>
      <c r="E46" s="455">
        <v>2026</v>
      </c>
      <c r="F46" s="456"/>
      <c r="G46" s="85">
        <f>mvalloc!C12</f>
        <v>3084</v>
      </c>
    </row>
    <row r="47" spans="1:7" ht="15.75">
      <c r="A47" s="37" t="s">
        <v>160</v>
      </c>
      <c r="B47" s="312"/>
      <c r="C47" s="455"/>
      <c r="D47" s="456"/>
      <c r="E47" s="455">
        <v>36</v>
      </c>
      <c r="F47" s="456"/>
      <c r="G47" s="85">
        <f>mvalloc!D12</f>
        <v>49</v>
      </c>
    </row>
    <row r="48" spans="1:7" ht="15.75">
      <c r="A48" s="316" t="s">
        <v>266</v>
      </c>
      <c r="B48" s="312"/>
      <c r="C48" s="455"/>
      <c r="D48" s="456"/>
      <c r="E48" s="455">
        <v>16</v>
      </c>
      <c r="F48" s="456"/>
      <c r="G48" s="85">
        <f>mvalloc!E12</f>
        <v>20</v>
      </c>
    </row>
    <row r="49" spans="1:7" ht="15.75">
      <c r="A49" s="317" t="s">
        <v>337</v>
      </c>
      <c r="B49" s="312"/>
      <c r="C49" s="455"/>
      <c r="D49" s="456"/>
      <c r="E49" s="455">
        <v>103</v>
      </c>
      <c r="F49" s="456"/>
      <c r="G49" s="85">
        <f>mvalloc!F12</f>
        <v>0</v>
      </c>
    </row>
    <row r="50" spans="1:7" ht="15.75">
      <c r="A50" s="296" t="s">
        <v>590</v>
      </c>
      <c r="B50" s="313"/>
      <c r="C50" s="455"/>
      <c r="D50" s="456"/>
      <c r="E50" s="455">
        <v>14233</v>
      </c>
      <c r="F50" s="456"/>
      <c r="G50" s="9">
        <v>18000</v>
      </c>
    </row>
    <row r="51" spans="1:7" ht="15.75">
      <c r="A51" s="296"/>
      <c r="B51" s="313"/>
      <c r="C51" s="455"/>
      <c r="D51" s="456"/>
      <c r="E51" s="455"/>
      <c r="F51" s="456"/>
      <c r="G51" s="9"/>
    </row>
    <row r="52" spans="1:7" ht="15.75">
      <c r="A52" s="307" t="s">
        <v>164</v>
      </c>
      <c r="B52" s="313"/>
      <c r="C52" s="455"/>
      <c r="D52" s="456"/>
      <c r="E52" s="455"/>
      <c r="F52" s="456"/>
      <c r="G52" s="9"/>
    </row>
    <row r="53" spans="1:7" ht="15.75">
      <c r="A53" s="316" t="s">
        <v>26</v>
      </c>
      <c r="B53" s="312"/>
      <c r="C53" s="455"/>
      <c r="D53" s="456"/>
      <c r="E53" s="455"/>
      <c r="F53" s="456"/>
      <c r="G53" s="308"/>
    </row>
    <row r="54" spans="1:7" ht="15.75">
      <c r="A54" s="306" t="s">
        <v>28</v>
      </c>
      <c r="B54" s="312"/>
      <c r="C54" s="475">
        <f>IF(C55*0.1&lt;C53,"Exceed 10% Rule","")</f>
      </c>
      <c r="D54" s="476"/>
      <c r="E54" s="475">
        <f>IF(E55*0.1&lt;E53,"Exceed 10% Rule","")</f>
      </c>
      <c r="F54" s="476"/>
      <c r="G54" s="348">
        <f>IF(G55*0.1+G72&lt;G53,"Exceed 10% Rule","")</f>
      </c>
    </row>
    <row r="55" spans="1:7" ht="15.75">
      <c r="A55" s="153" t="s">
        <v>165</v>
      </c>
      <c r="B55" s="312"/>
      <c r="C55" s="479">
        <f>SUM(C44:C53)</f>
        <v>0</v>
      </c>
      <c r="D55" s="480"/>
      <c r="E55" s="479">
        <f>SUM(E44:E53)</f>
        <v>41612</v>
      </c>
      <c r="F55" s="480"/>
      <c r="G55" s="263">
        <f>SUM(G45:G53)</f>
        <v>21153</v>
      </c>
    </row>
    <row r="56" spans="1:7" ht="15.75">
      <c r="A56" s="153" t="s">
        <v>166</v>
      </c>
      <c r="B56" s="312"/>
      <c r="C56" s="479">
        <f>C42+C55</f>
        <v>0</v>
      </c>
      <c r="D56" s="480"/>
      <c r="E56" s="479">
        <f>E42+E55</f>
        <v>41612</v>
      </c>
      <c r="F56" s="480"/>
      <c r="G56" s="263">
        <f>G42+G55</f>
        <v>21153</v>
      </c>
    </row>
    <row r="57" spans="1:7" ht="15.75">
      <c r="A57" s="37" t="s">
        <v>168</v>
      </c>
      <c r="B57" s="312"/>
      <c r="C57" s="499"/>
      <c r="D57" s="500"/>
      <c r="E57" s="499"/>
      <c r="F57" s="500"/>
      <c r="G57" s="42"/>
    </row>
    <row r="58" spans="1:7" ht="15.75">
      <c r="A58" s="296" t="s">
        <v>591</v>
      </c>
      <c r="B58" s="313"/>
      <c r="C58" s="455"/>
      <c r="D58" s="456"/>
      <c r="E58" s="455">
        <v>27379</v>
      </c>
      <c r="F58" s="456"/>
      <c r="G58" s="9">
        <v>28559</v>
      </c>
    </row>
    <row r="59" spans="1:7" ht="15.75">
      <c r="A59" s="296" t="s">
        <v>592</v>
      </c>
      <c r="B59" s="313"/>
      <c r="C59" s="455"/>
      <c r="D59" s="456"/>
      <c r="E59" s="455">
        <v>14233</v>
      </c>
      <c r="F59" s="456"/>
      <c r="G59" s="9">
        <v>18000</v>
      </c>
    </row>
    <row r="60" spans="1:7" ht="15.75">
      <c r="A60" s="296"/>
      <c r="B60" s="313"/>
      <c r="C60" s="455"/>
      <c r="D60" s="456"/>
      <c r="E60" s="455"/>
      <c r="F60" s="456"/>
      <c r="G60" s="9"/>
    </row>
    <row r="61" spans="1:7" ht="15.75">
      <c r="A61" s="296"/>
      <c r="B61" s="313"/>
      <c r="C61" s="455"/>
      <c r="D61" s="456"/>
      <c r="E61" s="455"/>
      <c r="F61" s="456"/>
      <c r="G61" s="9"/>
    </row>
    <row r="62" spans="1:7" ht="15.75">
      <c r="A62" s="296"/>
      <c r="B62" s="313"/>
      <c r="C62" s="455"/>
      <c r="D62" s="456"/>
      <c r="E62" s="455"/>
      <c r="F62" s="456"/>
      <c r="G62" s="9"/>
    </row>
    <row r="63" spans="1:7" ht="15.75">
      <c r="A63" s="314" t="s">
        <v>25</v>
      </c>
      <c r="B63" s="312"/>
      <c r="C63" s="455"/>
      <c r="D63" s="456"/>
      <c r="E63" s="455"/>
      <c r="F63" s="456"/>
      <c r="G63" s="262">
        <f>nhood!E11</f>
      </c>
    </row>
    <row r="64" spans="1:7" ht="15.75">
      <c r="A64" s="314" t="s">
        <v>26</v>
      </c>
      <c r="B64" s="312"/>
      <c r="C64" s="455"/>
      <c r="D64" s="456"/>
      <c r="E64" s="455"/>
      <c r="F64" s="456"/>
      <c r="G64" s="308"/>
    </row>
    <row r="65" spans="1:7" ht="15.75">
      <c r="A65" s="314" t="s">
        <v>27</v>
      </c>
      <c r="B65" s="312"/>
      <c r="C65" s="475">
        <f>IF(C66*0.1&lt;C64,"Exceed 10% Rule","")</f>
      </c>
      <c r="D65" s="476"/>
      <c r="E65" s="475">
        <f>IF(E66*0.1&lt;E64,"Exceed 10% Rule","")</f>
      </c>
      <c r="F65" s="476"/>
      <c r="G65" s="348">
        <f>IF(G66*0.1&lt;G64,"Exceed 10% Rule","")</f>
      </c>
    </row>
    <row r="66" spans="1:7" ht="15.75">
      <c r="A66" s="153" t="s">
        <v>172</v>
      </c>
      <c r="B66" s="312"/>
      <c r="C66" s="479">
        <f>SUM(C58:C64)</f>
        <v>0</v>
      </c>
      <c r="D66" s="480"/>
      <c r="E66" s="479">
        <f>SUM(E58:E64)</f>
        <v>41612</v>
      </c>
      <c r="F66" s="480"/>
      <c r="G66" s="263">
        <f>SUM(G58:G64)</f>
        <v>46559</v>
      </c>
    </row>
    <row r="67" spans="1:7" ht="15.75">
      <c r="A67" s="37" t="s">
        <v>290</v>
      </c>
      <c r="B67" s="312"/>
      <c r="C67" s="457">
        <f>C56-C66</f>
        <v>0</v>
      </c>
      <c r="D67" s="458"/>
      <c r="E67" s="457">
        <f>E56-E66</f>
        <v>0</v>
      </c>
      <c r="F67" s="458"/>
      <c r="G67" s="97" t="s">
        <v>144</v>
      </c>
    </row>
    <row r="68" spans="1:8" ht="15.75">
      <c r="A68" s="23" t="str">
        <f>CONCATENATE("",G1-2,"/",G1-1," Budget Authority Amount:")</f>
        <v>2008/2009 Budget Authority Amount:</v>
      </c>
      <c r="B68" s="331">
        <f>inputOth!B64</f>
        <v>17070</v>
      </c>
      <c r="C68" s="331">
        <f>inputPrYr!D22</f>
        <v>41612</v>
      </c>
      <c r="D68" s="468" t="s">
        <v>76</v>
      </c>
      <c r="E68" s="469"/>
      <c r="F68" s="470"/>
      <c r="G68" s="9"/>
      <c r="H68" s="291">
        <f>IF(G66/0.95-G66&lt;G68,"Exceeds 5%","")</f>
      </c>
    </row>
    <row r="69" spans="1:7" ht="15.75">
      <c r="A69" s="23" t="str">
        <f>CONCATENATE("Violation of Budget Law for ",G1-2,"/",G1-1,":")</f>
        <v>Violation of Budget Law for 2008/2009:</v>
      </c>
      <c r="B69" s="332" t="str">
        <f>IF(C66&gt;B68,"Yes","No")</f>
        <v>No</v>
      </c>
      <c r="C69" s="332" t="str">
        <f>IF(E66&gt;C68,"Yes","No")</f>
        <v>No</v>
      </c>
      <c r="D69" s="21"/>
      <c r="E69" s="471" t="s">
        <v>77</v>
      </c>
      <c r="F69" s="472"/>
      <c r="G69" s="85">
        <f>G66+G68</f>
        <v>46559</v>
      </c>
    </row>
    <row r="70" spans="1:7" ht="15.75">
      <c r="A70" s="23" t="str">
        <f>CONCATENATE("Possible Cash Violation for ",G1-2,":")</f>
        <v>Possible Cash Violation for 2008:</v>
      </c>
      <c r="B70" s="332" t="str">
        <f>IF(C67&lt;0,"Yes","No")</f>
        <v>No</v>
      </c>
      <c r="C70" s="332"/>
      <c r="D70" s="21"/>
      <c r="E70" s="471" t="s">
        <v>173</v>
      </c>
      <c r="F70" s="472"/>
      <c r="G70" s="262">
        <f>IF(G69-G56&gt;0,G69-G56,0)</f>
        <v>25406</v>
      </c>
    </row>
    <row r="71" spans="1:7" ht="15.75">
      <c r="A71" s="24"/>
      <c r="B71" s="24"/>
      <c r="C71" s="473" t="s">
        <v>78</v>
      </c>
      <c r="D71" s="474"/>
      <c r="E71" s="474"/>
      <c r="F71" s="230">
        <f>(inputOth!$E$46)</f>
        <v>0</v>
      </c>
      <c r="G71" s="85">
        <f>ROUND(IF(F71&gt;0,(G70*F71),0),0)</f>
        <v>0</v>
      </c>
    </row>
    <row r="72" spans="1:7" ht="15.75">
      <c r="A72" s="21"/>
      <c r="B72" s="21"/>
      <c r="C72" s="465" t="str">
        <f>CONCATENATE("Amount of  ",$G$1-1," Ad Valorem Tax")</f>
        <v>Amount of  2009 Ad Valorem Tax</v>
      </c>
      <c r="D72" s="466"/>
      <c r="E72" s="466"/>
      <c r="F72" s="467"/>
      <c r="G72" s="387">
        <f>G70+G71</f>
        <v>25406</v>
      </c>
    </row>
    <row r="73" spans="1:7" ht="15.75">
      <c r="A73" s="21"/>
      <c r="B73" s="21"/>
      <c r="C73" s="21"/>
      <c r="D73" s="21"/>
      <c r="E73" s="21"/>
      <c r="F73" s="21"/>
      <c r="G73" s="21"/>
    </row>
    <row r="74" spans="1:7" ht="15.75">
      <c r="A74" s="24"/>
      <c r="B74" s="24" t="s">
        <v>175</v>
      </c>
      <c r="C74" s="100">
        <v>10</v>
      </c>
      <c r="D74" s="137"/>
      <c r="E74" s="21"/>
      <c r="F74" s="21"/>
      <c r="G74" s="21"/>
    </row>
  </sheetData>
  <sheetProtection sheet="1" objects="1" scenarios="1"/>
  <mergeCells count="123">
    <mergeCell ref="C65:D65"/>
    <mergeCell ref="E56:F56"/>
    <mergeCell ref="C64:D64"/>
    <mergeCell ref="E58:F58"/>
    <mergeCell ref="E59:F59"/>
    <mergeCell ref="E60:F60"/>
    <mergeCell ref="E61:F61"/>
    <mergeCell ref="C62:D62"/>
    <mergeCell ref="C57:D57"/>
    <mergeCell ref="E63:F63"/>
    <mergeCell ref="E64:F64"/>
    <mergeCell ref="C58:D58"/>
    <mergeCell ref="C59:D59"/>
    <mergeCell ref="C56:D56"/>
    <mergeCell ref="E57:F57"/>
    <mergeCell ref="E46:F46"/>
    <mergeCell ref="E47:F47"/>
    <mergeCell ref="E48:F48"/>
    <mergeCell ref="E49:F49"/>
    <mergeCell ref="E50:F50"/>
    <mergeCell ref="E65:F65"/>
    <mergeCell ref="E27:F27"/>
    <mergeCell ref="C43:D43"/>
    <mergeCell ref="C32:D32"/>
    <mergeCell ref="C31:D31"/>
    <mergeCell ref="C30:D30"/>
    <mergeCell ref="E40:F40"/>
    <mergeCell ref="C40:D40"/>
    <mergeCell ref="C38:E38"/>
    <mergeCell ref="E43:F43"/>
    <mergeCell ref="E42:F42"/>
    <mergeCell ref="C42:D42"/>
    <mergeCell ref="C22:D22"/>
    <mergeCell ref="C26:D26"/>
    <mergeCell ref="C27:D27"/>
    <mergeCell ref="C28:D28"/>
    <mergeCell ref="D33:F33"/>
    <mergeCell ref="E34:F34"/>
    <mergeCell ref="E35:F35"/>
    <mergeCell ref="E41:F41"/>
    <mergeCell ref="E22:F22"/>
    <mergeCell ref="E21:F21"/>
    <mergeCell ref="E20:F20"/>
    <mergeCell ref="E19:F19"/>
    <mergeCell ref="E16:F16"/>
    <mergeCell ref="E17:F17"/>
    <mergeCell ref="E18:F18"/>
    <mergeCell ref="E5:F5"/>
    <mergeCell ref="C8:D8"/>
    <mergeCell ref="C7:D7"/>
    <mergeCell ref="C6:D6"/>
    <mergeCell ref="C5:D5"/>
    <mergeCell ref="E8:F8"/>
    <mergeCell ref="E7:F7"/>
    <mergeCell ref="E6:F6"/>
    <mergeCell ref="E10:F10"/>
    <mergeCell ref="C17:D17"/>
    <mergeCell ref="C9:D9"/>
    <mergeCell ref="C10:D10"/>
    <mergeCell ref="C11:D11"/>
    <mergeCell ref="C12:D12"/>
    <mergeCell ref="E9:F9"/>
    <mergeCell ref="E11:F11"/>
    <mergeCell ref="C15:D15"/>
    <mergeCell ref="C16:D16"/>
    <mergeCell ref="C21:D21"/>
    <mergeCell ref="C20:D20"/>
    <mergeCell ref="C19:D19"/>
    <mergeCell ref="E12:F12"/>
    <mergeCell ref="E13:F13"/>
    <mergeCell ref="E14:F14"/>
    <mergeCell ref="E15:F15"/>
    <mergeCell ref="C18:D18"/>
    <mergeCell ref="C13:D13"/>
    <mergeCell ref="C14:D14"/>
    <mergeCell ref="E28:F28"/>
    <mergeCell ref="E29:F29"/>
    <mergeCell ref="C44:D44"/>
    <mergeCell ref="C23:D23"/>
    <mergeCell ref="C24:D24"/>
    <mergeCell ref="C25:D25"/>
    <mergeCell ref="E23:F23"/>
    <mergeCell ref="E26:F26"/>
    <mergeCell ref="E24:F24"/>
    <mergeCell ref="E25:F25"/>
    <mergeCell ref="C45:D45"/>
    <mergeCell ref="E45:F45"/>
    <mergeCell ref="E32:F32"/>
    <mergeCell ref="E31:F31"/>
    <mergeCell ref="E30:F30"/>
    <mergeCell ref="C29:D29"/>
    <mergeCell ref="E44:F44"/>
    <mergeCell ref="C36:E36"/>
    <mergeCell ref="C37:F37"/>
    <mergeCell ref="C41:D41"/>
    <mergeCell ref="C50:D50"/>
    <mergeCell ref="C51:D51"/>
    <mergeCell ref="C52:D52"/>
    <mergeCell ref="C53:D53"/>
    <mergeCell ref="C46:D46"/>
    <mergeCell ref="C47:D47"/>
    <mergeCell ref="C48:D48"/>
    <mergeCell ref="C49:D49"/>
    <mergeCell ref="E51:F51"/>
    <mergeCell ref="E52:F52"/>
    <mergeCell ref="C72:F72"/>
    <mergeCell ref="C60:D60"/>
    <mergeCell ref="C61:D61"/>
    <mergeCell ref="E53:F53"/>
    <mergeCell ref="C66:D66"/>
    <mergeCell ref="C67:D67"/>
    <mergeCell ref="E66:F66"/>
    <mergeCell ref="E67:F67"/>
    <mergeCell ref="D68:F68"/>
    <mergeCell ref="E69:F69"/>
    <mergeCell ref="E70:F70"/>
    <mergeCell ref="C71:E71"/>
    <mergeCell ref="C54:D54"/>
    <mergeCell ref="E54:F54"/>
    <mergeCell ref="C63:D63"/>
    <mergeCell ref="E62:F62"/>
    <mergeCell ref="C55:D55"/>
    <mergeCell ref="E55:F55"/>
  </mergeCells>
  <conditionalFormatting sqref="G64">
    <cfRule type="cellIs" priority="1" dxfId="245" operator="greaterThan" stopIfTrue="1">
      <formula>$G$66*0.1</formula>
    </cfRule>
  </conditionalFormatting>
  <conditionalFormatting sqref="G68">
    <cfRule type="cellIs" priority="2" dxfId="245" operator="greaterThan" stopIfTrue="1">
      <formula>$G$66/0.95-$G$66</formula>
    </cfRule>
  </conditionalFormatting>
  <conditionalFormatting sqref="G29">
    <cfRule type="cellIs" priority="3" dxfId="245" operator="greaterThan" stopIfTrue="1">
      <formula>$G$31*0.1</formula>
    </cfRule>
  </conditionalFormatting>
  <conditionalFormatting sqref="G33">
    <cfRule type="cellIs" priority="4" dxfId="245" operator="greaterThan" stopIfTrue="1">
      <formula>$G$31/0.95-$G$31</formula>
    </cfRule>
  </conditionalFormatting>
  <conditionalFormatting sqref="C29:D29">
    <cfRule type="cellIs" priority="5" dxfId="0" operator="greaterThan" stopIfTrue="1">
      <formula>$C$31*0.1</formula>
    </cfRule>
  </conditionalFormatting>
  <conditionalFormatting sqref="E29:F29">
    <cfRule type="cellIs" priority="6" dxfId="0" operator="greaterThan" stopIfTrue="1">
      <formula>$E$31*0.1</formula>
    </cfRule>
  </conditionalFormatting>
  <conditionalFormatting sqref="E31:F31">
    <cfRule type="cellIs" priority="7" dxfId="0" operator="greaterThan" stopIfTrue="1">
      <formula>$C$33</formula>
    </cfRule>
  </conditionalFormatting>
  <conditionalFormatting sqref="C31:D31">
    <cfRule type="cellIs" priority="8" dxfId="0" operator="greaterThan" stopIfTrue="1">
      <formula>$B$33</formula>
    </cfRule>
  </conditionalFormatting>
  <conditionalFormatting sqref="C32:D32 C67:D67">
    <cfRule type="cellIs" priority="9" dxfId="0" operator="lessThan" stopIfTrue="1">
      <formula>0</formula>
    </cfRule>
  </conditionalFormatting>
  <conditionalFormatting sqref="C64:D64">
    <cfRule type="cellIs" priority="10" dxfId="0" operator="greaterThan" stopIfTrue="1">
      <formula>$C$66*0.1</formula>
    </cfRule>
  </conditionalFormatting>
  <conditionalFormatting sqref="E64:F64">
    <cfRule type="cellIs" priority="11" dxfId="0" operator="greaterThan" stopIfTrue="1">
      <formula>$E$66*0.1</formula>
    </cfRule>
  </conditionalFormatting>
  <conditionalFormatting sqref="E66:F66">
    <cfRule type="cellIs" priority="12" dxfId="0" operator="greaterThan" stopIfTrue="1">
      <formula>$C$68</formula>
    </cfRule>
  </conditionalFormatting>
  <conditionalFormatting sqref="C66:D66">
    <cfRule type="cellIs" priority="13" dxfId="0" operator="greaterThan" stopIfTrue="1">
      <formula>$B$68</formula>
    </cfRule>
  </conditionalFormatting>
  <conditionalFormatting sqref="E18:F18">
    <cfRule type="cellIs" priority="14" dxfId="0" operator="greaterThan" stopIfTrue="1">
      <formula>$E$20*0.1</formula>
    </cfRule>
  </conditionalFormatting>
  <conditionalFormatting sqref="C18:D18">
    <cfRule type="cellIs" priority="15" dxfId="0" operator="greaterThan" stopIfTrue="1">
      <formula>$C$20*0.1</formula>
    </cfRule>
  </conditionalFormatting>
  <conditionalFormatting sqref="E53:F53">
    <cfRule type="cellIs" priority="16" dxfId="0" operator="greaterThan" stopIfTrue="1">
      <formula>$E$55*0.1</formula>
    </cfRule>
  </conditionalFormatting>
  <conditionalFormatting sqref="C53:D53">
    <cfRule type="cellIs" priority="17" dxfId="0" operator="greaterThan" stopIfTrue="1">
      <formula>$C$55*0.1</formula>
    </cfRule>
  </conditionalFormatting>
  <conditionalFormatting sqref="G53">
    <cfRule type="cellIs" priority="18" dxfId="245" operator="greaterThan" stopIfTrue="1">
      <formula>$G$55*0.1+G72</formula>
    </cfRule>
  </conditionalFormatting>
  <conditionalFormatting sqref="G18">
    <cfRule type="cellIs" priority="19" dxfId="245" operator="greaterThan" stopIfTrue="1">
      <formula>$G$20*0.1+G37</formula>
    </cfRule>
  </conditionalFormatting>
  <printOptions/>
  <pageMargins left="0.5" right="0.5" top="1" bottom="0.5" header="0.5" footer="0.5"/>
  <pageSetup blackAndWhite="1" fitToHeight="1" fitToWidth="1" horizontalDpi="120" verticalDpi="120" orientation="portrait" scale="59" r:id="rId1"/>
  <headerFooter alignWithMargins="0">
    <oddHeader>&amp;RState of Kansas
City</oddHeader>
    <oddFooter>&amp;Lrevised 8/21/08</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E67"/>
  <sheetViews>
    <sheetView zoomScale="86" zoomScaleNormal="86" zoomScalePageLayoutView="0" workbookViewId="0" topLeftCell="A40">
      <selection activeCell="D59" sqref="D59"/>
    </sheetView>
  </sheetViews>
  <sheetFormatPr defaultColWidth="8.796875" defaultRowHeight="15"/>
  <cols>
    <col min="1" max="1" width="28.796875" style="7" customWidth="1"/>
    <col min="2" max="2" width="9.59765625" style="7" customWidth="1"/>
    <col min="3" max="4" width="15.796875" style="7" customWidth="1"/>
    <col min="5" max="5" width="16.19921875" style="7" customWidth="1"/>
    <col min="6" max="16384" width="8.8984375" style="7" customWidth="1"/>
  </cols>
  <sheetData>
    <row r="1" spans="1:5" ht="15.75">
      <c r="A1" s="72" t="str">
        <f>(inputPrYr!D2)</f>
        <v>CITY OF PARK CITY</v>
      </c>
      <c r="B1" s="72"/>
      <c r="C1" s="21"/>
      <c r="D1" s="21"/>
      <c r="E1" s="139">
        <f>inputPrYr!C5</f>
        <v>2010</v>
      </c>
    </row>
    <row r="2" spans="1:5" ht="15.75">
      <c r="A2" s="21"/>
      <c r="B2" s="21"/>
      <c r="C2" s="21"/>
      <c r="D2" s="21"/>
      <c r="E2" s="24"/>
    </row>
    <row r="3" spans="1:5" ht="15.75">
      <c r="A3" s="90" t="s">
        <v>234</v>
      </c>
      <c r="B3" s="90"/>
      <c r="C3" s="96"/>
      <c r="D3" s="96"/>
      <c r="E3" s="96"/>
    </row>
    <row r="4" spans="1:5" ht="15.75">
      <c r="A4" s="25" t="s">
        <v>156</v>
      </c>
      <c r="B4" s="25"/>
      <c r="C4" s="93" t="s">
        <v>180</v>
      </c>
      <c r="D4" s="33" t="s">
        <v>317</v>
      </c>
      <c r="E4" s="33" t="s">
        <v>318</v>
      </c>
    </row>
    <row r="5" spans="1:5" ht="15.75">
      <c r="A5" s="138" t="str">
        <f>(inputPrYr!B32)</f>
        <v>Special Highway</v>
      </c>
      <c r="B5" s="138"/>
      <c r="C5" s="147">
        <f>E1-2</f>
        <v>2008</v>
      </c>
      <c r="D5" s="147">
        <f>E1-1</f>
        <v>2009</v>
      </c>
      <c r="E5" s="147">
        <f>E1</f>
        <v>2010</v>
      </c>
    </row>
    <row r="6" spans="1:5" ht="15.75">
      <c r="A6" s="306" t="s">
        <v>289</v>
      </c>
      <c r="B6" s="312"/>
      <c r="C6" s="308">
        <v>149428</v>
      </c>
      <c r="D6" s="85">
        <f>C31</f>
        <v>192988.26</v>
      </c>
      <c r="E6" s="85">
        <f>D31</f>
        <v>154678.26</v>
      </c>
    </row>
    <row r="7" spans="1:5" ht="15.75">
      <c r="A7" s="311" t="s">
        <v>291</v>
      </c>
      <c r="B7" s="312"/>
      <c r="C7" s="300"/>
      <c r="D7" s="40"/>
      <c r="E7" s="40"/>
    </row>
    <row r="8" spans="1:5" ht="15.75">
      <c r="A8" s="314" t="s">
        <v>269</v>
      </c>
      <c r="B8" s="312"/>
      <c r="C8" s="308">
        <v>215748</v>
      </c>
      <c r="D8" s="143">
        <f>inputOth!E51</f>
        <v>196790</v>
      </c>
      <c r="E8" s="85">
        <f>inputOth!E49</f>
        <v>220010</v>
      </c>
    </row>
    <row r="9" spans="1:5" ht="15.75">
      <c r="A9" s="315" t="s">
        <v>350</v>
      </c>
      <c r="B9" s="312"/>
      <c r="C9" s="308">
        <v>107748</v>
      </c>
      <c r="D9" s="143">
        <f>inputOth!E52</f>
        <v>93520</v>
      </c>
      <c r="E9" s="143">
        <f>inputOth!E50</f>
        <v>108270</v>
      </c>
    </row>
    <row r="10" spans="1:5" ht="15.75">
      <c r="A10" s="296" t="s">
        <v>535</v>
      </c>
      <c r="B10" s="313"/>
      <c r="C10" s="308">
        <v>18231</v>
      </c>
      <c r="D10" s="9"/>
      <c r="E10" s="9"/>
    </row>
    <row r="11" spans="1:5" ht="15.75">
      <c r="A11" s="296"/>
      <c r="B11" s="313"/>
      <c r="C11" s="308"/>
      <c r="D11" s="9"/>
      <c r="E11" s="9"/>
    </row>
    <row r="12" spans="1:5" ht="15.75">
      <c r="A12" s="296"/>
      <c r="B12" s="313"/>
      <c r="C12" s="308"/>
      <c r="D12" s="9"/>
      <c r="E12" s="9"/>
    </row>
    <row r="13" spans="1:5" ht="15.75">
      <c r="A13" s="296"/>
      <c r="B13" s="313"/>
      <c r="C13" s="308"/>
      <c r="D13" s="9"/>
      <c r="E13" s="9"/>
    </row>
    <row r="14" spans="1:5" ht="15.75">
      <c r="A14" s="307" t="s">
        <v>164</v>
      </c>
      <c r="B14" s="313"/>
      <c r="C14" s="308"/>
      <c r="D14" s="9"/>
      <c r="E14" s="9"/>
    </row>
    <row r="15" spans="1:5" ht="15.75">
      <c r="A15" s="316" t="s">
        <v>26</v>
      </c>
      <c r="B15" s="312"/>
      <c r="C15" s="308"/>
      <c r="D15" s="308"/>
      <c r="E15" s="308"/>
    </row>
    <row r="16" spans="1:5" ht="15.75">
      <c r="A16" s="306" t="s">
        <v>28</v>
      </c>
      <c r="B16" s="312"/>
      <c r="C16" s="348">
        <f>IF(C17*0.1&lt;C15,"Exceed 10% Rule","")</f>
      </c>
      <c r="D16" s="348">
        <f>IF(D17*0.1&lt;D15,"Exceed 10% Rule","")</f>
      </c>
      <c r="E16" s="348">
        <f>IF(E17*0.1&lt;E15,"Exceed 10% Rule","")</f>
      </c>
    </row>
    <row r="17" spans="1:5" ht="15.75">
      <c r="A17" s="153" t="s">
        <v>165</v>
      </c>
      <c r="B17" s="312"/>
      <c r="C17" s="309">
        <f>SUM(C8:C15)</f>
        <v>341727</v>
      </c>
      <c r="D17" s="263">
        <f>SUM(D8:D15)</f>
        <v>290310</v>
      </c>
      <c r="E17" s="263">
        <f>SUM(E8:E15)</f>
        <v>328280</v>
      </c>
    </row>
    <row r="18" spans="1:5" ht="15.75">
      <c r="A18" s="153" t="s">
        <v>166</v>
      </c>
      <c r="B18" s="312"/>
      <c r="C18" s="309">
        <f>C6+C17</f>
        <v>491155</v>
      </c>
      <c r="D18" s="263">
        <f>D6+D17</f>
        <v>483298.26</v>
      </c>
      <c r="E18" s="263">
        <f>E6+E17</f>
        <v>482958.26</v>
      </c>
    </row>
    <row r="19" spans="1:5" ht="15.75">
      <c r="A19" s="37" t="s">
        <v>168</v>
      </c>
      <c r="B19" s="312"/>
      <c r="C19" s="119"/>
      <c r="D19" s="85"/>
      <c r="E19" s="85"/>
    </row>
    <row r="20" spans="1:5" ht="15.75">
      <c r="A20" s="296" t="s">
        <v>593</v>
      </c>
      <c r="B20" s="313"/>
      <c r="C20" s="308">
        <v>5000</v>
      </c>
      <c r="D20" s="9">
        <v>100000</v>
      </c>
      <c r="E20" s="9">
        <v>100000</v>
      </c>
    </row>
    <row r="21" spans="1:5" ht="15.75">
      <c r="A21" s="296" t="s">
        <v>595</v>
      </c>
      <c r="B21" s="313"/>
      <c r="C21" s="308">
        <v>279405.32</v>
      </c>
      <c r="D21" s="9">
        <v>192328</v>
      </c>
      <c r="E21" s="9">
        <v>382957</v>
      </c>
    </row>
    <row r="22" spans="1:5" ht="15.75">
      <c r="A22" s="296" t="s">
        <v>594</v>
      </c>
      <c r="B22" s="313"/>
      <c r="C22" s="308">
        <v>0</v>
      </c>
      <c r="D22" s="9">
        <v>36292</v>
      </c>
      <c r="E22" s="9"/>
    </row>
    <row r="23" spans="1:5" ht="15.75">
      <c r="A23" s="296" t="s">
        <v>596</v>
      </c>
      <c r="B23" s="313"/>
      <c r="C23" s="308">
        <v>10000</v>
      </c>
      <c r="D23" s="9">
        <v>0</v>
      </c>
      <c r="E23" s="9"/>
    </row>
    <row r="24" spans="1:5" ht="15.75">
      <c r="A24" s="296" t="s">
        <v>692</v>
      </c>
      <c r="B24" s="313"/>
      <c r="C24" s="308">
        <v>3761.42</v>
      </c>
      <c r="D24" s="9"/>
      <c r="E24" s="9"/>
    </row>
    <row r="25" spans="1:5" ht="15.75">
      <c r="A25" s="296"/>
      <c r="B25" s="313"/>
      <c r="C25" s="308"/>
      <c r="D25" s="9"/>
      <c r="E25" s="9"/>
    </row>
    <row r="26" spans="1:5" ht="15.75">
      <c r="A26" s="296"/>
      <c r="B26" s="313"/>
      <c r="C26" s="308"/>
      <c r="D26" s="9"/>
      <c r="E26" s="9"/>
    </row>
    <row r="27" spans="1:5" ht="15.75">
      <c r="A27" s="296"/>
      <c r="B27" s="313"/>
      <c r="C27" s="308"/>
      <c r="D27" s="9"/>
      <c r="E27" s="9"/>
    </row>
    <row r="28" spans="1:5" ht="15.75">
      <c r="A28" s="314" t="s">
        <v>26</v>
      </c>
      <c r="B28" s="312"/>
      <c r="C28" s="308"/>
      <c r="D28" s="308"/>
      <c r="E28" s="308"/>
    </row>
    <row r="29" spans="1:5" ht="15.75">
      <c r="A29" s="314" t="s">
        <v>27</v>
      </c>
      <c r="B29" s="312"/>
      <c r="C29" s="348">
        <f>IF(C30*0.1&lt;C28,"Exceed 10% Rule","")</f>
      </c>
      <c r="D29" s="348">
        <f>IF(D30*0.1&lt;D28,"Exceed 10% Rule","")</f>
      </c>
      <c r="E29" s="348">
        <f>IF(E30*0.1&lt;E28,"Exceed 10% Rule","")</f>
      </c>
    </row>
    <row r="30" spans="1:5" ht="15.75">
      <c r="A30" s="153" t="s">
        <v>172</v>
      </c>
      <c r="B30" s="312"/>
      <c r="C30" s="309">
        <f>SUM(C20:C28)</f>
        <v>298166.74</v>
      </c>
      <c r="D30" s="263">
        <f>SUM(D20:D28)</f>
        <v>328620</v>
      </c>
      <c r="E30" s="263">
        <f>SUM(E20:E28)</f>
        <v>482957</v>
      </c>
    </row>
    <row r="31" spans="1:5" ht="15.75">
      <c r="A31" s="37" t="s">
        <v>290</v>
      </c>
      <c r="B31" s="312"/>
      <c r="C31" s="310">
        <f>C18-C30</f>
        <v>192988.26</v>
      </c>
      <c r="D31" s="262">
        <f>D18-D30</f>
        <v>154678.26</v>
      </c>
      <c r="E31" s="262">
        <f>E18-E30</f>
        <v>1.2600000000093132</v>
      </c>
    </row>
    <row r="32" spans="1:5" ht="15.75">
      <c r="A32" s="23" t="str">
        <f>CONCATENATE("",E1-2,"/",E1-1," Budget Authority Amount:")</f>
        <v>2008/2009 Budget Authority Amount:</v>
      </c>
      <c r="B32" s="331"/>
      <c r="C32" s="331">
        <f>inputOth!B71</f>
        <v>940000</v>
      </c>
      <c r="D32" s="331">
        <f>inputPrYr!D32</f>
        <v>428620</v>
      </c>
      <c r="E32" s="395">
        <f>IF(E31&lt;0,"Budget Violation","")</f>
      </c>
    </row>
    <row r="33" spans="1:5" ht="15.75">
      <c r="A33" s="23" t="str">
        <f>CONCATENATE("Violation of Budget Law for ",E1-2,"/",E1-1,":")</f>
        <v>Violation of Budget Law for 2008/2009:</v>
      </c>
      <c r="B33" s="332"/>
      <c r="C33" s="332" t="str">
        <f>IF(C30&gt;C32,"Yes","No")</f>
        <v>No</v>
      </c>
      <c r="D33" s="332" t="str">
        <f>IF(D30&gt;D32,"Yes","No")</f>
        <v>No</v>
      </c>
      <c r="E33" s="65"/>
    </row>
    <row r="34" spans="1:5" ht="15.75">
      <c r="A34" s="23" t="str">
        <f>CONCATENATE("Possible Cash Violation for ",E1-2,":")</f>
        <v>Possible Cash Violation for 2008:</v>
      </c>
      <c r="B34" s="332"/>
      <c r="C34" s="332" t="str">
        <f>IF(C31&lt;0,"Yes","No")</f>
        <v>No</v>
      </c>
      <c r="D34" s="332"/>
      <c r="E34" s="65"/>
    </row>
    <row r="35" spans="1:5" ht="15.75">
      <c r="A35" s="21"/>
      <c r="B35" s="21"/>
      <c r="C35" s="65"/>
      <c r="D35" s="65"/>
      <c r="E35" s="65"/>
    </row>
    <row r="36" spans="1:5" ht="15.75">
      <c r="A36" s="25" t="s">
        <v>156</v>
      </c>
      <c r="B36" s="25"/>
      <c r="C36" s="102"/>
      <c r="D36" s="102"/>
      <c r="E36" s="102"/>
    </row>
    <row r="37" spans="1:5" ht="15.75">
      <c r="A37" s="21"/>
      <c r="B37" s="21"/>
      <c r="C37" s="93" t="s">
        <v>180</v>
      </c>
      <c r="D37" s="33" t="s">
        <v>317</v>
      </c>
      <c r="E37" s="33" t="s">
        <v>318</v>
      </c>
    </row>
    <row r="38" spans="1:5" ht="15.75">
      <c r="A38" s="138" t="str">
        <f>(inputPrYr!B33)</f>
        <v>Convention &amp; Tourism</v>
      </c>
      <c r="B38" s="138"/>
      <c r="C38" s="147">
        <f>C5</f>
        <v>2008</v>
      </c>
      <c r="D38" s="147">
        <f>D5</f>
        <v>2009</v>
      </c>
      <c r="E38" s="147">
        <f>E5</f>
        <v>2010</v>
      </c>
    </row>
    <row r="39" spans="1:5" ht="15.75">
      <c r="A39" s="306" t="s">
        <v>289</v>
      </c>
      <c r="B39" s="312"/>
      <c r="C39" s="308">
        <v>222788</v>
      </c>
      <c r="D39" s="85">
        <f>C62</f>
        <v>361365</v>
      </c>
      <c r="E39" s="85">
        <f>D62</f>
        <v>315365</v>
      </c>
    </row>
    <row r="40" spans="1:5" ht="15.75">
      <c r="A40" s="311" t="s">
        <v>291</v>
      </c>
      <c r="B40" s="312"/>
      <c r="C40" s="300"/>
      <c r="D40" s="40"/>
      <c r="E40" s="40"/>
    </row>
    <row r="41" spans="1:5" ht="15.75">
      <c r="A41" s="296" t="s">
        <v>759</v>
      </c>
      <c r="B41" s="313"/>
      <c r="C41" s="308">
        <v>315770</v>
      </c>
      <c r="D41" s="9">
        <v>210000</v>
      </c>
      <c r="E41" s="9">
        <v>270000</v>
      </c>
    </row>
    <row r="42" spans="1:5" ht="15.75">
      <c r="A42" s="307" t="s">
        <v>164</v>
      </c>
      <c r="B42" s="313"/>
      <c r="C42" s="308"/>
      <c r="D42" s="9"/>
      <c r="E42" s="9"/>
    </row>
    <row r="43" spans="1:5" ht="15.75">
      <c r="A43" s="316" t="s">
        <v>26</v>
      </c>
      <c r="B43" s="312"/>
      <c r="C43" s="308">
        <v>2987</v>
      </c>
      <c r="D43" s="308"/>
      <c r="E43" s="308"/>
    </row>
    <row r="44" spans="1:5" ht="15.75">
      <c r="A44" s="306" t="s">
        <v>28</v>
      </c>
      <c r="B44" s="312"/>
      <c r="C44" s="348">
        <f>IF(C45*0.1&lt;C43,"Exceed 10% Rule","")</f>
      </c>
      <c r="D44" s="348">
        <f>IF(D45*0.1&lt;D43,"Exceed 10% Rule","")</f>
      </c>
      <c r="E44" s="348">
        <f>IF(E45*0.1&lt;E43,"Exceed 10% Rule","")</f>
      </c>
    </row>
    <row r="45" spans="1:5" ht="15.75">
      <c r="A45" s="153" t="s">
        <v>165</v>
      </c>
      <c r="B45" s="312"/>
      <c r="C45" s="309">
        <f>SUM(C41:C43)</f>
        <v>318757</v>
      </c>
      <c r="D45" s="263">
        <f>SUM(D41:D43)</f>
        <v>210000</v>
      </c>
      <c r="E45" s="263">
        <f>SUM(E41:E43)</f>
        <v>270000</v>
      </c>
    </row>
    <row r="46" spans="1:5" ht="15.75">
      <c r="A46" s="153" t="s">
        <v>166</v>
      </c>
      <c r="B46" s="312"/>
      <c r="C46" s="309">
        <f>C39+C45</f>
        <v>541545</v>
      </c>
      <c r="D46" s="263">
        <f>D39+D45</f>
        <v>571365</v>
      </c>
      <c r="E46" s="263">
        <f>E39+E45</f>
        <v>585365</v>
      </c>
    </row>
    <row r="47" spans="1:5" ht="15.75">
      <c r="A47" s="37" t="s">
        <v>168</v>
      </c>
      <c r="B47" s="312"/>
      <c r="C47" s="119"/>
      <c r="D47" s="85"/>
      <c r="E47" s="85"/>
    </row>
    <row r="48" spans="1:5" ht="15.75">
      <c r="A48" s="296" t="s">
        <v>700</v>
      </c>
      <c r="B48" s="313"/>
      <c r="C48" s="308">
        <v>352</v>
      </c>
      <c r="D48" s="9">
        <v>800</v>
      </c>
      <c r="E48" s="9">
        <v>800</v>
      </c>
    </row>
    <row r="49" spans="1:5" ht="15.75">
      <c r="A49" s="296" t="s">
        <v>701</v>
      </c>
      <c r="B49" s="313"/>
      <c r="C49" s="308">
        <v>0</v>
      </c>
      <c r="D49" s="9">
        <v>500</v>
      </c>
      <c r="E49" s="9">
        <v>500</v>
      </c>
    </row>
    <row r="50" spans="1:5" ht="15.75">
      <c r="A50" s="296" t="s">
        <v>653</v>
      </c>
      <c r="B50" s="313"/>
      <c r="C50" s="308">
        <v>81</v>
      </c>
      <c r="D50" s="9">
        <v>200</v>
      </c>
      <c r="E50" s="9">
        <v>200</v>
      </c>
    </row>
    <row r="51" spans="1:5" ht="15.75">
      <c r="A51" s="296" t="s">
        <v>702</v>
      </c>
      <c r="B51" s="313"/>
      <c r="C51" s="308">
        <v>1428</v>
      </c>
      <c r="D51" s="9">
        <v>4500</v>
      </c>
      <c r="E51" s="9">
        <v>4500</v>
      </c>
    </row>
    <row r="52" spans="1:5" ht="15.75">
      <c r="A52" s="296" t="s">
        <v>703</v>
      </c>
      <c r="B52" s="313"/>
      <c r="C52" s="308">
        <v>0</v>
      </c>
      <c r="D52" s="9">
        <v>16000</v>
      </c>
      <c r="E52" s="9">
        <v>329000</v>
      </c>
    </row>
    <row r="53" spans="1:5" ht="15.75">
      <c r="A53" s="296" t="s">
        <v>708</v>
      </c>
      <c r="B53" s="313"/>
      <c r="C53" s="308">
        <v>71564</v>
      </c>
      <c r="D53" s="9">
        <v>3500</v>
      </c>
      <c r="E53" s="9">
        <v>60000</v>
      </c>
    </row>
    <row r="54" spans="1:5" ht="15.75">
      <c r="A54" s="296" t="s">
        <v>717</v>
      </c>
      <c r="B54" s="313"/>
      <c r="C54" s="308">
        <v>19162</v>
      </c>
      <c r="D54" s="9">
        <v>60000</v>
      </c>
      <c r="E54" s="9">
        <v>90500</v>
      </c>
    </row>
    <row r="55" spans="1:5" ht="15.75">
      <c r="A55" s="296" t="s">
        <v>704</v>
      </c>
      <c r="B55" s="313"/>
      <c r="C55" s="308">
        <v>16550</v>
      </c>
      <c r="D55" s="308">
        <v>90500</v>
      </c>
      <c r="E55" s="9">
        <v>20000</v>
      </c>
    </row>
    <row r="56" spans="1:5" ht="15.75">
      <c r="A56" s="296" t="s">
        <v>705</v>
      </c>
      <c r="B56" s="313"/>
      <c r="C56" s="308">
        <v>54126</v>
      </c>
      <c r="D56" s="308">
        <v>20000</v>
      </c>
      <c r="E56" s="308">
        <v>60000</v>
      </c>
    </row>
    <row r="57" spans="1:5" ht="15.75">
      <c r="A57" s="296" t="s">
        <v>706</v>
      </c>
      <c r="B57" s="313"/>
      <c r="C57" s="308">
        <v>16000</v>
      </c>
      <c r="D57" s="308">
        <v>60000</v>
      </c>
      <c r="E57" s="308">
        <v>16000</v>
      </c>
    </row>
    <row r="58" spans="1:5" ht="15.75">
      <c r="A58" s="296" t="s">
        <v>707</v>
      </c>
      <c r="B58" s="313"/>
      <c r="C58" s="308">
        <v>0</v>
      </c>
      <c r="D58" s="308">
        <v>0</v>
      </c>
      <c r="E58" s="308"/>
    </row>
    <row r="59" spans="1:5" ht="15.75">
      <c r="A59" s="314" t="s">
        <v>26</v>
      </c>
      <c r="B59" s="312"/>
      <c r="C59" s="308">
        <v>917</v>
      </c>
      <c r="D59" s="308">
        <v>0</v>
      </c>
      <c r="E59" s="308">
        <v>3500</v>
      </c>
    </row>
    <row r="60" spans="1:5" ht="15.75">
      <c r="A60" s="314" t="s">
        <v>27</v>
      </c>
      <c r="B60" s="312"/>
      <c r="C60" s="348">
        <f>IF(C61*0.1&lt;C59,"Exceed 10% Rule","")</f>
      </c>
      <c r="D60" s="348">
        <f>IF(D61*0.1&lt;D59,"Exceed 10% Rule","")</f>
      </c>
      <c r="E60" s="348">
        <f>IF(E61*0.1&lt;E59,"Exceed 10% Rule","")</f>
      </c>
    </row>
    <row r="61" spans="1:5" ht="15.75">
      <c r="A61" s="153" t="s">
        <v>172</v>
      </c>
      <c r="B61" s="312"/>
      <c r="C61" s="309">
        <f>SUM(C48:C59)</f>
        <v>180180</v>
      </c>
      <c r="D61" s="263">
        <f>SUM(D48:D59)</f>
        <v>256000</v>
      </c>
      <c r="E61" s="263">
        <f>SUM(E48:E59)</f>
        <v>585000</v>
      </c>
    </row>
    <row r="62" spans="1:5" ht="15.75">
      <c r="A62" s="37" t="s">
        <v>290</v>
      </c>
      <c r="B62" s="312"/>
      <c r="C62" s="310">
        <f>C46-C61</f>
        <v>361365</v>
      </c>
      <c r="D62" s="262">
        <f>D46-D61</f>
        <v>315365</v>
      </c>
      <c r="E62" s="262">
        <f>E46-E61</f>
        <v>365</v>
      </c>
    </row>
    <row r="63" spans="1:5" ht="15.75">
      <c r="A63" s="23" t="str">
        <f>CONCATENATE("",E1-2,"/",E1-1," Budget Authority Amount:")</f>
        <v>2008/2009 Budget Authority Amount:</v>
      </c>
      <c r="B63" s="331"/>
      <c r="C63" s="331">
        <f>inputOth!B72</f>
        <v>254500</v>
      </c>
      <c r="D63" s="331">
        <f>inputPrYr!D33</f>
        <v>356000</v>
      </c>
      <c r="E63" s="394">
        <f>IF(E62&lt;0,"Budget Violation","")</f>
      </c>
    </row>
    <row r="64" spans="1:5" ht="15.75">
      <c r="A64" s="23" t="str">
        <f>CONCATENATE("Violation of Budget Law for ",E1-2,"/",E1-1,":")</f>
        <v>Violation of Budget Law for 2008/2009:</v>
      </c>
      <c r="B64" s="332"/>
      <c r="C64" s="332" t="str">
        <f>IF(C61&gt;C63,"Yes","No")</f>
        <v>No</v>
      </c>
      <c r="D64" s="332" t="str">
        <f>IF(D61&gt;D63,"Yes","No")</f>
        <v>No</v>
      </c>
      <c r="E64" s="21"/>
    </row>
    <row r="65" spans="1:5" ht="15.75">
      <c r="A65" s="23" t="str">
        <f>CONCATENATE("Possible Cash Violation for ",E1-2,":")</f>
        <v>Possible Cash Violation for 2008:</v>
      </c>
      <c r="B65" s="332"/>
      <c r="C65" s="332" t="str">
        <f>IF(C62&lt;0,"Yes","No")</f>
        <v>No</v>
      </c>
      <c r="D65" s="332"/>
      <c r="E65" s="21"/>
    </row>
    <row r="66" spans="1:5" ht="15.75">
      <c r="A66" s="21"/>
      <c r="B66" s="21"/>
      <c r="C66" s="21"/>
      <c r="D66" s="21"/>
      <c r="E66" s="21"/>
    </row>
    <row r="67" spans="1:5" ht="15.75">
      <c r="A67" s="24"/>
      <c r="B67" s="24" t="s">
        <v>175</v>
      </c>
      <c r="C67" s="100">
        <v>11</v>
      </c>
      <c r="D67" s="21"/>
      <c r="E67" s="21"/>
    </row>
  </sheetData>
  <sheetProtection sheet="1" objects="1" scenarios="1"/>
  <conditionalFormatting sqref="C15">
    <cfRule type="cellIs" priority="2" dxfId="245" operator="greaterThan" stopIfTrue="1">
      <formula>$C$17*0.1</formula>
    </cfRule>
  </conditionalFormatting>
  <conditionalFormatting sqref="D15">
    <cfRule type="cellIs" priority="3" dxfId="245" operator="greaterThan" stopIfTrue="1">
      <formula>$D$17*0.1</formula>
    </cfRule>
  </conditionalFormatting>
  <conditionalFormatting sqref="E15">
    <cfRule type="cellIs" priority="4" dxfId="245" operator="greaterThan" stopIfTrue="1">
      <formula>$E$17*0.1</formula>
    </cfRule>
  </conditionalFormatting>
  <conditionalFormatting sqref="C28">
    <cfRule type="cellIs" priority="5" dxfId="245" operator="greaterThan" stopIfTrue="1">
      <formula>$C$30*0.1</formula>
    </cfRule>
  </conditionalFormatting>
  <conditionalFormatting sqref="D28">
    <cfRule type="cellIs" priority="6" dxfId="245" operator="greaterThan" stopIfTrue="1">
      <formula>$D$30*0.1</formula>
    </cfRule>
  </conditionalFormatting>
  <conditionalFormatting sqref="E28">
    <cfRule type="cellIs" priority="7" dxfId="245" operator="greaterThan" stopIfTrue="1">
      <formula>$E$30*0.1</formula>
    </cfRule>
  </conditionalFormatting>
  <conditionalFormatting sqref="C43">
    <cfRule type="cellIs" priority="8" dxfId="245" operator="greaterThan" stopIfTrue="1">
      <formula>$C$45*0.1</formula>
    </cfRule>
  </conditionalFormatting>
  <conditionalFormatting sqref="D43">
    <cfRule type="cellIs" priority="9" dxfId="245" operator="greaterThan" stopIfTrue="1">
      <formula>$D$45*0.1</formula>
    </cfRule>
  </conditionalFormatting>
  <conditionalFormatting sqref="E43">
    <cfRule type="cellIs" priority="10" dxfId="245" operator="greaterThan" stopIfTrue="1">
      <formula>$E$45*0.1</formula>
    </cfRule>
  </conditionalFormatting>
  <conditionalFormatting sqref="C59">
    <cfRule type="cellIs" priority="11" dxfId="245" operator="greaterThan" stopIfTrue="1">
      <formula>$C$61*0.1</formula>
    </cfRule>
  </conditionalFormatting>
  <conditionalFormatting sqref="D59">
    <cfRule type="cellIs" priority="12" dxfId="245" operator="greaterThan" stopIfTrue="1">
      <formula>$D$61*0.1</formula>
    </cfRule>
  </conditionalFormatting>
  <conditionalFormatting sqref="E59">
    <cfRule type="cellIs" priority="13" dxfId="245" operator="greaterThan" stopIfTrue="1">
      <formula>$E$61*0.1</formula>
    </cfRule>
  </conditionalFormatting>
  <conditionalFormatting sqref="D61">
    <cfRule type="cellIs" priority="14" dxfId="0" operator="greaterThan" stopIfTrue="1">
      <formula>$D$63</formula>
    </cfRule>
  </conditionalFormatting>
  <conditionalFormatting sqref="C61">
    <cfRule type="cellIs" priority="15" dxfId="0" operator="greaterThan" stopIfTrue="1">
      <formula>$C$63</formula>
    </cfRule>
  </conditionalFormatting>
  <conditionalFormatting sqref="C62 E62 C31 E31">
    <cfRule type="cellIs" priority="16" dxfId="0" operator="lessThan" stopIfTrue="1">
      <formula>0</formula>
    </cfRule>
  </conditionalFormatting>
  <conditionalFormatting sqref="D30">
    <cfRule type="cellIs" priority="17" dxfId="0" operator="greaterThan" stopIfTrue="1">
      <formula>$D$32</formula>
    </cfRule>
  </conditionalFormatting>
  <conditionalFormatting sqref="C30">
    <cfRule type="cellIs" priority="18" dxfId="0" operator="greaterThan" stopIfTrue="1">
      <formula>$C$32</formula>
    </cfRule>
  </conditionalFormatting>
  <conditionalFormatting sqref="D58">
    <cfRule type="cellIs" priority="1" dxfId="245" operator="greaterThan" stopIfTrue="1">
      <formula>$D$61*0.1</formula>
    </cfRule>
  </conditionalFormatting>
  <printOptions/>
  <pageMargins left="0.5" right="0.5" top="1" bottom="0.5" header="0.5" footer="0.5"/>
  <pageSetup blackAndWhite="1" fitToHeight="1" fitToWidth="1" horizontalDpi="120" verticalDpi="120" orientation="portrait" scale="65" r:id="rId1"/>
  <headerFooter alignWithMargins="0">
    <oddHeader>&amp;RState of Kansas
City</oddHeader>
    <oddFooter>&amp;Lrevised 8/21/08</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E65"/>
  <sheetViews>
    <sheetView zoomScale="84" zoomScaleNormal="84" zoomScalePageLayoutView="0" workbookViewId="0" topLeftCell="A46">
      <selection activeCell="C66" sqref="C66"/>
    </sheetView>
  </sheetViews>
  <sheetFormatPr defaultColWidth="8.796875" defaultRowHeight="15"/>
  <cols>
    <col min="1" max="1" width="28.796875" style="7" customWidth="1"/>
    <col min="2" max="2" width="9.59765625" style="7" customWidth="1"/>
    <col min="3" max="4" width="15.796875" style="7" customWidth="1"/>
    <col min="5" max="5" width="16.296875" style="7" customWidth="1"/>
    <col min="6" max="16384" width="8.8984375" style="7" customWidth="1"/>
  </cols>
  <sheetData>
    <row r="1" spans="1:5" ht="15.75">
      <c r="A1" s="72" t="str">
        <f>(inputPrYr!D2)</f>
        <v>CITY OF PARK CITY</v>
      </c>
      <c r="B1" s="72"/>
      <c r="C1" s="21"/>
      <c r="D1" s="21"/>
      <c r="E1" s="139">
        <f>inputPrYr!C5</f>
        <v>2010</v>
      </c>
    </row>
    <row r="2" spans="1:5" ht="15.75">
      <c r="A2" s="21"/>
      <c r="B2" s="21"/>
      <c r="C2" s="21"/>
      <c r="D2" s="21"/>
      <c r="E2" s="24"/>
    </row>
    <row r="3" spans="1:5" ht="15.75">
      <c r="A3" s="90" t="s">
        <v>234</v>
      </c>
      <c r="B3" s="90"/>
      <c r="C3" s="96"/>
      <c r="D3" s="96"/>
      <c r="E3" s="96"/>
    </row>
    <row r="4" spans="1:5" ht="15.75">
      <c r="A4" s="25" t="s">
        <v>156</v>
      </c>
      <c r="B4" s="25"/>
      <c r="C4" s="93" t="s">
        <v>349</v>
      </c>
      <c r="D4" s="33" t="s">
        <v>317</v>
      </c>
      <c r="E4" s="33" t="s">
        <v>318</v>
      </c>
    </row>
    <row r="5" spans="1:5" ht="15.75">
      <c r="A5" s="138" t="str">
        <f>(inputPrYr!B34)</f>
        <v>Special Alcohol/Drug(Police)</v>
      </c>
      <c r="B5" s="138"/>
      <c r="C5" s="147">
        <f>E1-2</f>
        <v>2008</v>
      </c>
      <c r="D5" s="147">
        <f>E1-1</f>
        <v>2009</v>
      </c>
      <c r="E5" s="147">
        <f>E1</f>
        <v>2010</v>
      </c>
    </row>
    <row r="6" spans="1:5" ht="15.75">
      <c r="A6" s="306" t="s">
        <v>289</v>
      </c>
      <c r="B6" s="312"/>
      <c r="C6" s="308">
        <v>12328</v>
      </c>
      <c r="D6" s="85">
        <f>C29</f>
        <v>18080.67</v>
      </c>
      <c r="E6" s="85">
        <f>D29</f>
        <v>5751.669999999998</v>
      </c>
    </row>
    <row r="7" spans="1:5" ht="15.75">
      <c r="A7" s="311" t="s">
        <v>291</v>
      </c>
      <c r="B7" s="312"/>
      <c r="C7" s="300"/>
      <c r="D7" s="40"/>
      <c r="E7" s="40"/>
    </row>
    <row r="8" spans="1:5" ht="15.75">
      <c r="A8" s="296" t="s">
        <v>693</v>
      </c>
      <c r="B8" s="313"/>
      <c r="C8" s="308">
        <v>6352.67</v>
      </c>
      <c r="D8" s="9">
        <v>5671</v>
      </c>
      <c r="E8" s="9">
        <f>+general!G19</f>
        <v>6768</v>
      </c>
    </row>
    <row r="9" spans="1:5" ht="15.75">
      <c r="A9" s="296"/>
      <c r="B9" s="313"/>
      <c r="C9" s="308"/>
      <c r="D9" s="9"/>
      <c r="E9" s="9"/>
    </row>
    <row r="10" spans="1:5" ht="15.75">
      <c r="A10" s="296"/>
      <c r="B10" s="313"/>
      <c r="C10" s="308"/>
      <c r="D10" s="9"/>
      <c r="E10" s="9"/>
    </row>
    <row r="11" spans="1:5" ht="15.75">
      <c r="A11" s="296"/>
      <c r="B11" s="313"/>
      <c r="C11" s="308"/>
      <c r="D11" s="9"/>
      <c r="E11" s="9"/>
    </row>
    <row r="12" spans="1:5" ht="15.75">
      <c r="A12" s="307" t="s">
        <v>164</v>
      </c>
      <c r="B12" s="313"/>
      <c r="C12" s="308"/>
      <c r="D12" s="9"/>
      <c r="E12" s="9"/>
    </row>
    <row r="13" spans="1:5" ht="15.75">
      <c r="A13" s="316" t="s">
        <v>26</v>
      </c>
      <c r="B13" s="312"/>
      <c r="C13" s="308"/>
      <c r="D13" s="308"/>
      <c r="E13" s="308"/>
    </row>
    <row r="14" spans="1:5" ht="15.75">
      <c r="A14" s="306" t="s">
        <v>28</v>
      </c>
      <c r="B14" s="312"/>
      <c r="C14" s="348">
        <f>IF(C15*0.1&lt;C13,"Exceed 10% Rule","")</f>
      </c>
      <c r="D14" s="348">
        <f>IF(D15*0.1&lt;D13,"Exceed 10% Rule","")</f>
      </c>
      <c r="E14" s="348">
        <f>IF(E15*0.1&lt;E13,"Exceed 10% Rule","")</f>
      </c>
    </row>
    <row r="15" spans="1:5" ht="15.75">
      <c r="A15" s="153" t="s">
        <v>165</v>
      </c>
      <c r="B15" s="312"/>
      <c r="C15" s="309">
        <f>SUM(C8:C13)</f>
        <v>6352.67</v>
      </c>
      <c r="D15" s="263">
        <f>SUM(D8:D13)</f>
        <v>5671</v>
      </c>
      <c r="E15" s="263">
        <f>SUM(E8:E13)</f>
        <v>6768</v>
      </c>
    </row>
    <row r="16" spans="1:5" ht="15.75">
      <c r="A16" s="153" t="s">
        <v>166</v>
      </c>
      <c r="B16" s="312"/>
      <c r="C16" s="309">
        <f>C6+C15</f>
        <v>18680.67</v>
      </c>
      <c r="D16" s="263">
        <f>D6+D15</f>
        <v>23751.67</v>
      </c>
      <c r="E16" s="263">
        <f>E6+E15</f>
        <v>12519.669999999998</v>
      </c>
    </row>
    <row r="17" spans="1:5" ht="15.75">
      <c r="A17" s="37" t="s">
        <v>168</v>
      </c>
      <c r="B17" s="312"/>
      <c r="C17" s="119"/>
      <c r="D17" s="85"/>
      <c r="E17" s="85"/>
    </row>
    <row r="18" spans="1:5" ht="15.75">
      <c r="A18" s="296" t="s">
        <v>670</v>
      </c>
      <c r="B18" s="313"/>
      <c r="C18" s="308">
        <v>350</v>
      </c>
      <c r="D18" s="9">
        <v>2000</v>
      </c>
      <c r="E18" s="9">
        <v>2000</v>
      </c>
    </row>
    <row r="19" spans="1:5" ht="15.75">
      <c r="A19" s="296" t="s">
        <v>694</v>
      </c>
      <c r="B19" s="313"/>
      <c r="C19" s="308"/>
      <c r="D19" s="9">
        <v>7500</v>
      </c>
      <c r="E19" s="9">
        <v>8000</v>
      </c>
    </row>
    <row r="20" spans="1:5" ht="15.75">
      <c r="A20" s="296" t="s">
        <v>695</v>
      </c>
      <c r="B20" s="313"/>
      <c r="C20" s="308">
        <v>250</v>
      </c>
      <c r="D20" s="9">
        <v>7500</v>
      </c>
      <c r="E20" s="9">
        <v>2500</v>
      </c>
    </row>
    <row r="21" spans="1:5" ht="15.75">
      <c r="A21" s="296"/>
      <c r="B21" s="313"/>
      <c r="C21" s="308"/>
      <c r="D21" s="9"/>
      <c r="E21" s="9"/>
    </row>
    <row r="22" spans="1:5" ht="15.75">
      <c r="A22" s="296"/>
      <c r="B22" s="313"/>
      <c r="C22" s="308"/>
      <c r="D22" s="9"/>
      <c r="E22" s="9"/>
    </row>
    <row r="23" spans="1:5" ht="15.75">
      <c r="A23" s="296"/>
      <c r="B23" s="313"/>
      <c r="C23" s="308"/>
      <c r="D23" s="9"/>
      <c r="E23" s="9"/>
    </row>
    <row r="24" spans="1:5" ht="15.75">
      <c r="A24" s="296"/>
      <c r="B24" s="313"/>
      <c r="C24" s="308"/>
      <c r="D24" s="9"/>
      <c r="E24" s="9"/>
    </row>
    <row r="25" spans="1:5" ht="15.75">
      <c r="A25" s="296"/>
      <c r="B25" s="313"/>
      <c r="C25" s="308"/>
      <c r="D25" s="9"/>
      <c r="E25" s="9"/>
    </row>
    <row r="26" spans="1:5" ht="15.75">
      <c r="A26" s="314" t="s">
        <v>26</v>
      </c>
      <c r="B26" s="312"/>
      <c r="C26" s="308"/>
      <c r="D26" s="308">
        <v>1000</v>
      </c>
      <c r="E26" s="308"/>
    </row>
    <row r="27" spans="1:5" ht="15.75">
      <c r="A27" s="314" t="s">
        <v>27</v>
      </c>
      <c r="B27" s="312"/>
      <c r="C27" s="348">
        <f>IF(C28*0.1&lt;C26,"Exceed 10% Rule","")</f>
      </c>
      <c r="D27" s="348">
        <f>IF(D28*0.1&lt;D26,"Exceed 10% Rule","")</f>
      </c>
      <c r="E27" s="348">
        <f>IF(E28*0.1&lt;E26,"Exceed 10% Rule","")</f>
      </c>
    </row>
    <row r="28" spans="1:5" ht="15.75">
      <c r="A28" s="153" t="s">
        <v>172</v>
      </c>
      <c r="B28" s="312"/>
      <c r="C28" s="309">
        <f>SUM(C18:C26)</f>
        <v>600</v>
      </c>
      <c r="D28" s="263">
        <f>SUM(D18:D26)</f>
        <v>18000</v>
      </c>
      <c r="E28" s="263">
        <f>SUM(E18:E26)</f>
        <v>12500</v>
      </c>
    </row>
    <row r="29" spans="1:5" ht="15.75">
      <c r="A29" s="37" t="s">
        <v>290</v>
      </c>
      <c r="B29" s="312"/>
      <c r="C29" s="310">
        <f>C16-C28</f>
        <v>18080.67</v>
      </c>
      <c r="D29" s="262">
        <f>D16-D28</f>
        <v>5751.669999999998</v>
      </c>
      <c r="E29" s="262">
        <f>E16-E28</f>
        <v>19.669999999998254</v>
      </c>
    </row>
    <row r="30" spans="1:5" ht="15.75">
      <c r="A30" s="23" t="str">
        <f>CONCATENATE("",E1-2,"/",E1-1," Budget Authority Amount:")</f>
        <v>2008/2009 Budget Authority Amount:</v>
      </c>
      <c r="B30" s="331"/>
      <c r="C30" s="331">
        <f>inputOth!B73</f>
        <v>17000</v>
      </c>
      <c r="D30" s="331">
        <f>inputPrYr!D34</f>
        <v>18000</v>
      </c>
      <c r="E30" s="395">
        <f>IF(E29&lt;0,"Budget Violation","")</f>
      </c>
    </row>
    <row r="31" spans="1:5" ht="15.75">
      <c r="A31" s="23" t="str">
        <f>CONCATENATE("Violation of Budget Law for ",E1-2,"/",E1-1,":")</f>
        <v>Violation of Budget Law for 2008/2009:</v>
      </c>
      <c r="B31" s="332"/>
      <c r="C31" s="332" t="str">
        <f>IF(C28&gt;C30,"Yes","No")</f>
        <v>No</v>
      </c>
      <c r="D31" s="332" t="str">
        <f>IF(D28&gt;D30,"Yes","No")</f>
        <v>No</v>
      </c>
      <c r="E31" s="65"/>
    </row>
    <row r="32" spans="1:5" ht="15.75">
      <c r="A32" s="23" t="str">
        <f>CONCATENATE("Possible Cash Violation for ",E1-2,":")</f>
        <v>Possible Cash Violation for 2008:</v>
      </c>
      <c r="B32" s="332"/>
      <c r="C32" s="332" t="str">
        <f>IF(C29&lt;0,"Yes","No")</f>
        <v>No</v>
      </c>
      <c r="D32" s="332"/>
      <c r="E32" s="65"/>
    </row>
    <row r="33" spans="1:5" ht="15.75">
      <c r="A33" s="21"/>
      <c r="B33" s="21"/>
      <c r="C33" s="65"/>
      <c r="D33" s="65"/>
      <c r="E33" s="65"/>
    </row>
    <row r="34" spans="1:5" ht="15.75">
      <c r="A34" s="25" t="s">
        <v>156</v>
      </c>
      <c r="B34" s="25"/>
      <c r="C34" s="102"/>
      <c r="D34" s="102"/>
      <c r="E34" s="102"/>
    </row>
    <row r="35" spans="1:5" ht="15.75">
      <c r="A35" s="21"/>
      <c r="B35" s="21"/>
      <c r="C35" s="93" t="s">
        <v>180</v>
      </c>
      <c r="D35" s="33" t="s">
        <v>317</v>
      </c>
      <c r="E35" s="33" t="s">
        <v>318</v>
      </c>
    </row>
    <row r="36" spans="1:5" ht="15.75">
      <c r="A36" s="138" t="str">
        <f>(inputPrYr!B35)</f>
        <v>Special Alcohol (Park)</v>
      </c>
      <c r="B36" s="138"/>
      <c r="C36" s="147">
        <f>C5</f>
        <v>2008</v>
      </c>
      <c r="D36" s="147">
        <f>D5</f>
        <v>2009</v>
      </c>
      <c r="E36" s="147">
        <f>E5</f>
        <v>2010</v>
      </c>
    </row>
    <row r="37" spans="1:5" ht="15.75">
      <c r="A37" s="306" t="s">
        <v>289</v>
      </c>
      <c r="B37" s="312"/>
      <c r="C37" s="308">
        <v>13696</v>
      </c>
      <c r="D37" s="85">
        <f>C60</f>
        <v>15075.669999999998</v>
      </c>
      <c r="E37" s="85">
        <f>D60</f>
        <v>9151.479999999998</v>
      </c>
    </row>
    <row r="38" spans="1:5" ht="15.75">
      <c r="A38" s="311" t="s">
        <v>291</v>
      </c>
      <c r="B38" s="312"/>
      <c r="C38" s="300"/>
      <c r="D38" s="40"/>
      <c r="E38" s="40"/>
    </row>
    <row r="39" spans="1:5" ht="15.75">
      <c r="A39" s="296" t="s">
        <v>693</v>
      </c>
      <c r="B39" s="313"/>
      <c r="C39" s="308">
        <v>6352.67</v>
      </c>
      <c r="D39" s="9">
        <v>5671</v>
      </c>
      <c r="E39" s="9">
        <f>+general!G19</f>
        <v>6768</v>
      </c>
    </row>
    <row r="40" spans="1:5" ht="15.75">
      <c r="A40" s="296"/>
      <c r="B40" s="313"/>
      <c r="C40" s="308"/>
      <c r="D40" s="9"/>
      <c r="E40" s="9"/>
    </row>
    <row r="41" spans="1:5" ht="15.75">
      <c r="A41" s="296"/>
      <c r="B41" s="313"/>
      <c r="C41" s="308"/>
      <c r="D41" s="9"/>
      <c r="E41" s="9"/>
    </row>
    <row r="42" spans="1:5" ht="15.75">
      <c r="A42" s="296"/>
      <c r="B42" s="313"/>
      <c r="C42" s="308"/>
      <c r="D42" s="9"/>
      <c r="E42" s="9"/>
    </row>
    <row r="43" spans="1:5" ht="15.75">
      <c r="A43" s="307" t="s">
        <v>164</v>
      </c>
      <c r="B43" s="313"/>
      <c r="C43" s="308"/>
      <c r="D43" s="9"/>
      <c r="E43" s="9"/>
    </row>
    <row r="44" spans="1:5" ht="15.75">
      <c r="A44" s="316" t="s">
        <v>26</v>
      </c>
      <c r="B44" s="312"/>
      <c r="C44" s="308"/>
      <c r="D44" s="308"/>
      <c r="E44" s="308"/>
    </row>
    <row r="45" spans="1:5" ht="15.75">
      <c r="A45" s="306" t="s">
        <v>28</v>
      </c>
      <c r="B45" s="312"/>
      <c r="C45" s="348">
        <f>IF(C46*0.1&lt;C44,"Exceed 10% Rule","")</f>
      </c>
      <c r="D45" s="348">
        <f>IF(D46*0.1&lt;D44,"Exceed 10% Rule","")</f>
      </c>
      <c r="E45" s="348">
        <f>IF(E46*0.1&lt;E44,"Exceed 10% Rule","")</f>
      </c>
    </row>
    <row r="46" spans="1:5" ht="15.75">
      <c r="A46" s="153" t="s">
        <v>165</v>
      </c>
      <c r="B46" s="312"/>
      <c r="C46" s="309">
        <f>SUM(C39:C44)</f>
        <v>6352.67</v>
      </c>
      <c r="D46" s="263">
        <f>SUM(D39:D44)</f>
        <v>5671</v>
      </c>
      <c r="E46" s="263">
        <f>SUM(E39:E44)</f>
        <v>6768</v>
      </c>
    </row>
    <row r="47" spans="1:5" ht="15.75">
      <c r="A47" s="153" t="s">
        <v>166</v>
      </c>
      <c r="B47" s="312"/>
      <c r="C47" s="309">
        <f>C37+C46</f>
        <v>20048.67</v>
      </c>
      <c r="D47" s="263">
        <f>D37+D46</f>
        <v>20746.67</v>
      </c>
      <c r="E47" s="263">
        <f>E37+E46</f>
        <v>15919.479999999998</v>
      </c>
    </row>
    <row r="48" spans="1:5" ht="15.75">
      <c r="A48" s="37" t="s">
        <v>168</v>
      </c>
      <c r="B48" s="312"/>
      <c r="C48" s="119"/>
      <c r="D48" s="85"/>
      <c r="E48" s="85"/>
    </row>
    <row r="49" spans="1:5" ht="15.75">
      <c r="A49" s="296" t="s">
        <v>595</v>
      </c>
      <c r="B49" s="313"/>
      <c r="C49" s="308">
        <v>4973</v>
      </c>
      <c r="D49" s="9">
        <v>11595.19</v>
      </c>
      <c r="E49" s="9">
        <v>15900</v>
      </c>
    </row>
    <row r="50" spans="1:5" ht="15.75">
      <c r="A50" s="296"/>
      <c r="B50" s="313"/>
      <c r="C50" s="308"/>
      <c r="D50" s="9"/>
      <c r="E50" s="9"/>
    </row>
    <row r="51" spans="1:5" ht="15.75">
      <c r="A51" s="296"/>
      <c r="B51" s="313"/>
      <c r="C51" s="308"/>
      <c r="D51" s="9"/>
      <c r="E51" s="9"/>
    </row>
    <row r="52" spans="1:5" ht="15.75">
      <c r="A52" s="296"/>
      <c r="B52" s="313"/>
      <c r="C52" s="308"/>
      <c r="D52" s="9"/>
      <c r="E52" s="9"/>
    </row>
    <row r="53" spans="1:5" ht="15.75">
      <c r="A53" s="296"/>
      <c r="B53" s="313"/>
      <c r="C53" s="308"/>
      <c r="D53" s="9"/>
      <c r="E53" s="9"/>
    </row>
    <row r="54" spans="1:5" ht="15.75">
      <c r="A54" s="296"/>
      <c r="B54" s="313"/>
      <c r="C54" s="308"/>
      <c r="D54" s="9"/>
      <c r="E54" s="9"/>
    </row>
    <row r="55" spans="1:5" ht="15.75">
      <c r="A55" s="296"/>
      <c r="B55" s="313"/>
      <c r="C55" s="308"/>
      <c r="D55" s="9"/>
      <c r="E55" s="9"/>
    </row>
    <row r="56" spans="1:5" ht="15.75">
      <c r="A56" s="296"/>
      <c r="B56" s="313"/>
      <c r="C56" s="308"/>
      <c r="D56" s="9"/>
      <c r="E56" s="9"/>
    </row>
    <row r="57" spans="1:5" ht="15.75">
      <c r="A57" s="314" t="s">
        <v>26</v>
      </c>
      <c r="B57" s="312"/>
      <c r="C57" s="308"/>
      <c r="D57" s="308"/>
      <c r="E57" s="308"/>
    </row>
    <row r="58" spans="1:5" ht="15.75">
      <c r="A58" s="314" t="s">
        <v>27</v>
      </c>
      <c r="B58" s="312"/>
      <c r="C58" s="348">
        <f>IF(C59*0.1&lt;C57,"Exceed 10% Rule","")</f>
      </c>
      <c r="D58" s="348">
        <f>IF(D59*0.1&lt;D57,"Exceed 10% Rule","")</f>
      </c>
      <c r="E58" s="348">
        <f>IF(E59*0.1&lt;E57,"Exceed 10% Rule","")</f>
      </c>
    </row>
    <row r="59" spans="1:5" ht="15.75">
      <c r="A59" s="153" t="s">
        <v>172</v>
      </c>
      <c r="B59" s="312"/>
      <c r="C59" s="309">
        <f>SUM(C49:C57)</f>
        <v>4973</v>
      </c>
      <c r="D59" s="263">
        <f>SUM(D49:D57)</f>
        <v>11595.19</v>
      </c>
      <c r="E59" s="263">
        <f>SUM(E49:E57)</f>
        <v>15900</v>
      </c>
    </row>
    <row r="60" spans="1:5" ht="15.75">
      <c r="A60" s="37" t="s">
        <v>290</v>
      </c>
      <c r="B60" s="312"/>
      <c r="C60" s="310">
        <f>C47-C59</f>
        <v>15075.669999999998</v>
      </c>
      <c r="D60" s="262">
        <f>D47-D59</f>
        <v>9151.479999999998</v>
      </c>
      <c r="E60" s="262">
        <f>E47-E59</f>
        <v>19.479999999997744</v>
      </c>
    </row>
    <row r="61" spans="1:5" ht="15.75">
      <c r="A61" s="23" t="str">
        <f>CONCATENATE("",E1-2,"/",E1-1," Budget Authority Amount:")</f>
        <v>2008/2009 Budget Authority Amount:</v>
      </c>
      <c r="B61" s="331"/>
      <c r="C61" s="331">
        <f>inputOth!B74</f>
        <v>17000</v>
      </c>
      <c r="D61" s="331">
        <f>inputPrYr!D35</f>
        <v>15378</v>
      </c>
      <c r="E61" s="394">
        <f>IF(E60&lt;0,"Budget Violation","")</f>
      </c>
    </row>
    <row r="62" spans="1:5" ht="15.75">
      <c r="A62" s="23" t="str">
        <f>CONCATENATE("Violation of Budget Law for ",E1-2,"/",E1-1,":")</f>
        <v>Violation of Budget Law for 2008/2009:</v>
      </c>
      <c r="B62" s="332"/>
      <c r="C62" s="332" t="str">
        <f>IF(C59&gt;C61,"Yes","No")</f>
        <v>No</v>
      </c>
      <c r="D62" s="332" t="str">
        <f>IF(D59&gt;D61,"Yes","No")</f>
        <v>No</v>
      </c>
      <c r="E62" s="21"/>
    </row>
    <row r="63" spans="1:5" ht="15.75">
      <c r="A63" s="23" t="str">
        <f>CONCATENATE("Possible Cash Violation for ",E1-2,":")</f>
        <v>Possible Cash Violation for 2008:</v>
      </c>
      <c r="B63" s="332"/>
      <c r="C63" s="332" t="str">
        <f>IF(C60&lt;0,"Yes","No")</f>
        <v>No</v>
      </c>
      <c r="D63" s="332"/>
      <c r="E63" s="21"/>
    </row>
    <row r="64" spans="1:5" ht="15.75">
      <c r="A64" s="21"/>
      <c r="B64" s="21"/>
      <c r="C64" s="21"/>
      <c r="D64" s="21"/>
      <c r="E64" s="21"/>
    </row>
    <row r="65" spans="1:5" ht="15.75">
      <c r="A65" s="24"/>
      <c r="B65" s="24" t="s">
        <v>175</v>
      </c>
      <c r="C65" s="100">
        <v>12</v>
      </c>
      <c r="D65" s="21"/>
      <c r="E65" s="21"/>
    </row>
  </sheetData>
  <sheetProtection sheet="1" objects="1" scenarios="1"/>
  <conditionalFormatting sqref="C13">
    <cfRule type="cellIs" priority="1" dxfId="245" operator="greaterThan" stopIfTrue="1">
      <formula>$C$15*0.1</formula>
    </cfRule>
  </conditionalFormatting>
  <conditionalFormatting sqref="D13">
    <cfRule type="cellIs" priority="2" dxfId="245" operator="greaterThan" stopIfTrue="1">
      <formula>$D$15*0.1</formula>
    </cfRule>
  </conditionalFormatting>
  <conditionalFormatting sqref="E13">
    <cfRule type="cellIs" priority="3" dxfId="245" operator="greaterThan" stopIfTrue="1">
      <formula>$E$15*0.1</formula>
    </cfRule>
  </conditionalFormatting>
  <conditionalFormatting sqref="C26">
    <cfRule type="cellIs" priority="4" dxfId="245" operator="greaterThan" stopIfTrue="1">
      <formula>$C$28*0.1</formula>
    </cfRule>
  </conditionalFormatting>
  <conditionalFormatting sqref="D26">
    <cfRule type="cellIs" priority="5" dxfId="245" operator="greaterThan" stopIfTrue="1">
      <formula>$D$28*0.1</formula>
    </cfRule>
  </conditionalFormatting>
  <conditionalFormatting sqref="E26">
    <cfRule type="cellIs" priority="6" dxfId="245" operator="greaterThan" stopIfTrue="1">
      <formula>$E$28*0.1</formula>
    </cfRule>
  </conditionalFormatting>
  <conditionalFormatting sqref="C44">
    <cfRule type="cellIs" priority="7" dxfId="245" operator="greaterThan" stopIfTrue="1">
      <formula>$C$46*0.1</formula>
    </cfRule>
  </conditionalFormatting>
  <conditionalFormatting sqref="D44">
    <cfRule type="cellIs" priority="8" dxfId="245" operator="greaterThan" stopIfTrue="1">
      <formula>$D$46*0.1</formula>
    </cfRule>
  </conditionalFormatting>
  <conditionalFormatting sqref="E44">
    <cfRule type="cellIs" priority="9" dxfId="245" operator="greaterThan" stopIfTrue="1">
      <formula>$E$46*0.1</formula>
    </cfRule>
  </conditionalFormatting>
  <conditionalFormatting sqref="C57">
    <cfRule type="cellIs" priority="10" dxfId="245" operator="greaterThan" stopIfTrue="1">
      <formula>$C$59*0.1</formula>
    </cfRule>
  </conditionalFormatting>
  <conditionalFormatting sqref="D57">
    <cfRule type="cellIs" priority="11" dxfId="245" operator="greaterThan" stopIfTrue="1">
      <formula>$D$59*0.1</formula>
    </cfRule>
  </conditionalFormatting>
  <conditionalFormatting sqref="E57">
    <cfRule type="cellIs" priority="12" dxfId="245" operator="greaterThan" stopIfTrue="1">
      <formula>$E$59*0.1</formula>
    </cfRule>
  </conditionalFormatting>
  <conditionalFormatting sqref="D59">
    <cfRule type="cellIs" priority="13" dxfId="0" operator="greaterThan" stopIfTrue="1">
      <formula>$D$61</formula>
    </cfRule>
  </conditionalFormatting>
  <conditionalFormatting sqref="C59">
    <cfRule type="cellIs" priority="14" dxfId="0" operator="greaterThan" stopIfTrue="1">
      <formula>$C$61</formula>
    </cfRule>
  </conditionalFormatting>
  <conditionalFormatting sqref="C60 E60 C29 E29">
    <cfRule type="cellIs" priority="15" dxfId="0" operator="lessThan" stopIfTrue="1">
      <formula>0</formula>
    </cfRule>
  </conditionalFormatting>
  <conditionalFormatting sqref="D28">
    <cfRule type="cellIs" priority="16" dxfId="0" operator="greaterThan" stopIfTrue="1">
      <formula>$D$30</formula>
    </cfRule>
  </conditionalFormatting>
  <conditionalFormatting sqref="C28">
    <cfRule type="cellIs" priority="17" dxfId="0" operator="greaterThan" stopIfTrue="1">
      <formula>$C$30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oddFooter>&amp;Lrevised 8/21/08</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E65"/>
  <sheetViews>
    <sheetView zoomScale="76" zoomScaleNormal="76" zoomScalePageLayoutView="0" workbookViewId="0" topLeftCell="A40">
      <selection activeCell="C37" sqref="C37"/>
    </sheetView>
  </sheetViews>
  <sheetFormatPr defaultColWidth="8.796875" defaultRowHeight="15"/>
  <cols>
    <col min="1" max="1" width="28.796875" style="7" customWidth="1"/>
    <col min="2" max="2" width="9.59765625" style="7" customWidth="1"/>
    <col min="3" max="4" width="15.796875" style="7" customWidth="1"/>
    <col min="5" max="5" width="16.09765625" style="7" customWidth="1"/>
    <col min="6" max="16384" width="8.8984375" style="7" customWidth="1"/>
  </cols>
  <sheetData>
    <row r="1" spans="1:5" ht="15.75">
      <c r="A1" s="72" t="str">
        <f>(inputPrYr!D2)</f>
        <v>CITY OF PARK CITY</v>
      </c>
      <c r="B1" s="72"/>
      <c r="C1" s="21"/>
      <c r="D1" s="21"/>
      <c r="E1" s="139">
        <f>inputPrYr!C5</f>
        <v>2010</v>
      </c>
    </row>
    <row r="2" spans="1:5" ht="15.75">
      <c r="A2" s="21"/>
      <c r="B2" s="21"/>
      <c r="C2" s="21"/>
      <c r="D2" s="21"/>
      <c r="E2" s="24"/>
    </row>
    <row r="3" spans="1:5" ht="15.75">
      <c r="A3" s="90" t="s">
        <v>234</v>
      </c>
      <c r="B3" s="90"/>
      <c r="C3" s="96"/>
      <c r="D3" s="96"/>
      <c r="E3" s="96"/>
    </row>
    <row r="4" spans="1:5" ht="15.75">
      <c r="A4" s="25" t="s">
        <v>156</v>
      </c>
      <c r="B4" s="25"/>
      <c r="C4" s="93" t="s">
        <v>180</v>
      </c>
      <c r="D4" s="33" t="s">
        <v>317</v>
      </c>
      <c r="E4" s="33" t="s">
        <v>318</v>
      </c>
    </row>
    <row r="5" spans="1:5" ht="15.75">
      <c r="A5" s="138" t="str">
        <f>(inputPrYr!B36)</f>
        <v>Police &amp; Court Training</v>
      </c>
      <c r="B5" s="138"/>
      <c r="C5" s="147">
        <f>E1-2</f>
        <v>2008</v>
      </c>
      <c r="D5" s="147">
        <f>E1-1</f>
        <v>2009</v>
      </c>
      <c r="E5" s="147">
        <f>E1</f>
        <v>2010</v>
      </c>
    </row>
    <row r="6" spans="1:5" ht="15.75">
      <c r="A6" s="306" t="s">
        <v>289</v>
      </c>
      <c r="B6" s="312"/>
      <c r="C6" s="308">
        <v>18846</v>
      </c>
      <c r="D6" s="85">
        <f>C29</f>
        <v>20419.4</v>
      </c>
      <c r="E6" s="85">
        <f>D29</f>
        <v>6419.4000000000015</v>
      </c>
    </row>
    <row r="7" spans="1:5" ht="15.75">
      <c r="A7" s="311" t="s">
        <v>291</v>
      </c>
      <c r="B7" s="312"/>
      <c r="C7" s="300"/>
      <c r="D7" s="40"/>
      <c r="E7" s="40"/>
    </row>
    <row r="8" spans="1:5" ht="15.75">
      <c r="A8" s="296" t="s">
        <v>696</v>
      </c>
      <c r="B8" s="313"/>
      <c r="C8" s="308">
        <v>15165</v>
      </c>
      <c r="D8" s="9">
        <v>20000</v>
      </c>
      <c r="E8" s="9">
        <v>20000</v>
      </c>
    </row>
    <row r="9" spans="1:5" ht="15.75">
      <c r="A9" s="296"/>
      <c r="B9" s="313"/>
      <c r="C9" s="308"/>
      <c r="D9" s="9"/>
      <c r="E9" s="9"/>
    </row>
    <row r="10" spans="1:5" ht="15.75">
      <c r="A10" s="296"/>
      <c r="B10" s="313"/>
      <c r="C10" s="308"/>
      <c r="D10" s="9"/>
      <c r="E10" s="9"/>
    </row>
    <row r="11" spans="1:5" ht="15.75">
      <c r="A11" s="296"/>
      <c r="B11" s="313"/>
      <c r="C11" s="308"/>
      <c r="D11" s="9"/>
      <c r="E11" s="9"/>
    </row>
    <row r="12" spans="1:5" ht="15.75">
      <c r="A12" s="307" t="s">
        <v>164</v>
      </c>
      <c r="B12" s="313"/>
      <c r="C12" s="308"/>
      <c r="D12" s="9"/>
      <c r="E12" s="9"/>
    </row>
    <row r="13" spans="1:5" ht="15.75">
      <c r="A13" s="316" t="s">
        <v>26</v>
      </c>
      <c r="B13" s="312"/>
      <c r="C13" s="308"/>
      <c r="D13" s="308"/>
      <c r="E13" s="308"/>
    </row>
    <row r="14" spans="1:5" ht="15.75">
      <c r="A14" s="306" t="s">
        <v>28</v>
      </c>
      <c r="B14" s="312"/>
      <c r="C14" s="348">
        <f>IF(C15*0.1&lt;C13,"Exceed 10% Rule","")</f>
      </c>
      <c r="D14" s="348">
        <f>IF(D15*0.1&lt;D13,"Exceed 10% Rule","")</f>
      </c>
      <c r="E14" s="348">
        <f>IF(E15*0.1&lt;E13,"Exceed 10% Rule","")</f>
      </c>
    </row>
    <row r="15" spans="1:5" ht="15.75">
      <c r="A15" s="153" t="s">
        <v>165</v>
      </c>
      <c r="B15" s="312"/>
      <c r="C15" s="309">
        <f>SUM(C8:C13)</f>
        <v>15165</v>
      </c>
      <c r="D15" s="263">
        <f>SUM(D8:D13)</f>
        <v>20000</v>
      </c>
      <c r="E15" s="263">
        <f>SUM(E8:E13)</f>
        <v>20000</v>
      </c>
    </row>
    <row r="16" spans="1:5" ht="15.75">
      <c r="A16" s="153" t="s">
        <v>166</v>
      </c>
      <c r="B16" s="312"/>
      <c r="C16" s="309">
        <f>C6+C15</f>
        <v>34011</v>
      </c>
      <c r="D16" s="263">
        <f>D6+D15</f>
        <v>40419.4</v>
      </c>
      <c r="E16" s="263">
        <f>E6+E15</f>
        <v>26419.4</v>
      </c>
    </row>
    <row r="17" spans="1:5" ht="15.75">
      <c r="A17" s="37" t="s">
        <v>168</v>
      </c>
      <c r="B17" s="312"/>
      <c r="C17" s="119"/>
      <c r="D17" s="85"/>
      <c r="E17" s="85"/>
    </row>
    <row r="18" spans="1:5" ht="15.75">
      <c r="A18" s="296" t="s">
        <v>697</v>
      </c>
      <c r="B18" s="313"/>
      <c r="C18" s="308">
        <v>13591.6</v>
      </c>
      <c r="D18" s="9">
        <v>32000</v>
      </c>
      <c r="E18" s="9">
        <v>16000</v>
      </c>
    </row>
    <row r="19" spans="1:5" ht="15.75">
      <c r="A19" s="296" t="s">
        <v>698</v>
      </c>
      <c r="B19" s="313"/>
      <c r="C19" s="308"/>
      <c r="D19" s="9">
        <v>1000</v>
      </c>
      <c r="E19" s="9">
        <v>2000</v>
      </c>
    </row>
    <row r="20" spans="1:5" ht="15.75">
      <c r="A20" s="296" t="s">
        <v>699</v>
      </c>
      <c r="B20" s="313"/>
      <c r="C20" s="308"/>
      <c r="D20" s="9">
        <v>1000</v>
      </c>
      <c r="E20" s="9">
        <v>8000</v>
      </c>
    </row>
    <row r="21" spans="1:5" ht="15.75">
      <c r="A21" s="296"/>
      <c r="B21" s="313"/>
      <c r="C21" s="308"/>
      <c r="D21" s="9"/>
      <c r="E21" s="9"/>
    </row>
    <row r="22" spans="1:5" ht="15.75">
      <c r="A22" s="296"/>
      <c r="B22" s="313"/>
      <c r="C22" s="308"/>
      <c r="D22" s="9"/>
      <c r="E22" s="9"/>
    </row>
    <row r="23" spans="1:5" ht="15.75">
      <c r="A23" s="296"/>
      <c r="B23" s="313"/>
      <c r="C23" s="308"/>
      <c r="D23" s="9"/>
      <c r="E23" s="9"/>
    </row>
    <row r="24" spans="1:5" ht="15.75">
      <c r="A24" s="296"/>
      <c r="B24" s="313"/>
      <c r="C24" s="308"/>
      <c r="D24" s="9"/>
      <c r="E24" s="9"/>
    </row>
    <row r="25" spans="1:5" ht="15.75">
      <c r="A25" s="296"/>
      <c r="B25" s="313"/>
      <c r="C25" s="308"/>
      <c r="D25" s="9"/>
      <c r="E25" s="9"/>
    </row>
    <row r="26" spans="1:5" ht="15.75">
      <c r="A26" s="314" t="s">
        <v>26</v>
      </c>
      <c r="B26" s="312"/>
      <c r="C26" s="308"/>
      <c r="D26" s="308"/>
      <c r="E26" s="308"/>
    </row>
    <row r="27" spans="1:5" ht="15.75">
      <c r="A27" s="314" t="s">
        <v>27</v>
      </c>
      <c r="B27" s="312"/>
      <c r="C27" s="348">
        <f>IF(C28*0.1&lt;C26,"Exceed 10% Rule","")</f>
      </c>
      <c r="D27" s="348">
        <f>IF(D28*0.1&lt;D26,"Exceed 10% Rule","")</f>
      </c>
      <c r="E27" s="348">
        <f>IF(E28*0.1&lt;E26,"Exceed 10% Rule","")</f>
      </c>
    </row>
    <row r="28" spans="1:5" ht="15.75">
      <c r="A28" s="153" t="s">
        <v>172</v>
      </c>
      <c r="B28" s="312"/>
      <c r="C28" s="309">
        <f>SUM(C18:C26)</f>
        <v>13591.6</v>
      </c>
      <c r="D28" s="263">
        <f>SUM(D18:D26)</f>
        <v>34000</v>
      </c>
      <c r="E28" s="263">
        <f>SUM(E18:E26)</f>
        <v>26000</v>
      </c>
    </row>
    <row r="29" spans="1:5" ht="15.75">
      <c r="A29" s="37" t="s">
        <v>290</v>
      </c>
      <c r="B29" s="312"/>
      <c r="C29" s="310">
        <f>C16-C28</f>
        <v>20419.4</v>
      </c>
      <c r="D29" s="262">
        <f>D16-D28</f>
        <v>6419.4000000000015</v>
      </c>
      <c r="E29" s="262">
        <f>E16-E28</f>
        <v>419.40000000000146</v>
      </c>
    </row>
    <row r="30" spans="1:5" ht="15.75">
      <c r="A30" s="23" t="str">
        <f>CONCATENATE("",E1-2,"/",E1-1," Budget Authority Amount:")</f>
        <v>2008/2009 Budget Authority Amount:</v>
      </c>
      <c r="B30" s="331"/>
      <c r="C30" s="331">
        <f>inputOth!B75</f>
        <v>34000</v>
      </c>
      <c r="D30" s="331">
        <f>inputPrYr!D36</f>
        <v>42000</v>
      </c>
      <c r="E30" s="395">
        <f>IF(E29&lt;0,"Budget Violation","")</f>
      </c>
    </row>
    <row r="31" spans="1:5" ht="15.75">
      <c r="A31" s="23" t="str">
        <f>CONCATENATE("Violation of Budget Law for ",E1-2,"/",E1-1,":")</f>
        <v>Violation of Budget Law for 2008/2009:</v>
      </c>
      <c r="B31" s="332"/>
      <c r="C31" s="332" t="str">
        <f>IF(C28&gt;C30,"Yes","No")</f>
        <v>No</v>
      </c>
      <c r="D31" s="332" t="str">
        <f>IF(D28&gt;D30,"Yes","No")</f>
        <v>No</v>
      </c>
      <c r="E31" s="65"/>
    </row>
    <row r="32" spans="1:5" ht="15.75">
      <c r="A32" s="23" t="str">
        <f>CONCATENATE("Possible Cash Violation for ",E1-2,":")</f>
        <v>Possible Cash Violation for 2008:</v>
      </c>
      <c r="B32" s="332"/>
      <c r="C32" s="332" t="str">
        <f>IF(C29&lt;0,"Yes","No")</f>
        <v>No</v>
      </c>
      <c r="D32" s="332"/>
      <c r="E32" s="65"/>
    </row>
    <row r="33" spans="1:5" ht="15.75">
      <c r="A33" s="21"/>
      <c r="B33" s="21"/>
      <c r="C33" s="65"/>
      <c r="D33" s="65"/>
      <c r="E33" s="65"/>
    </row>
    <row r="34" spans="1:5" ht="15.75">
      <c r="A34" s="25" t="s">
        <v>156</v>
      </c>
      <c r="B34" s="25"/>
      <c r="C34" s="102"/>
      <c r="D34" s="102"/>
      <c r="E34" s="102"/>
    </row>
    <row r="35" spans="1:5" ht="15.75">
      <c r="A35" s="21"/>
      <c r="B35" s="21"/>
      <c r="C35" s="93" t="s">
        <v>180</v>
      </c>
      <c r="D35" s="33" t="s">
        <v>317</v>
      </c>
      <c r="E35" s="33" t="s">
        <v>318</v>
      </c>
    </row>
    <row r="36" spans="1:5" ht="15.75">
      <c r="A36" s="138" t="str">
        <f>(inputPrYr!B37)</f>
        <v>Solid Waste Utility Fund</v>
      </c>
      <c r="B36" s="138"/>
      <c r="C36" s="147">
        <f>C5</f>
        <v>2008</v>
      </c>
      <c r="D36" s="147">
        <f>D5</f>
        <v>2009</v>
      </c>
      <c r="E36" s="147">
        <f>E5</f>
        <v>2010</v>
      </c>
    </row>
    <row r="37" spans="1:5" ht="15.75">
      <c r="A37" s="306" t="s">
        <v>289</v>
      </c>
      <c r="B37" s="312"/>
      <c r="C37" s="308">
        <v>16673</v>
      </c>
      <c r="D37" s="85">
        <f>C60</f>
        <v>9526.48999999999</v>
      </c>
      <c r="E37" s="85">
        <f>D60</f>
        <v>11226.48999999999</v>
      </c>
    </row>
    <row r="38" spans="1:5" ht="15.75">
      <c r="A38" s="311" t="s">
        <v>291</v>
      </c>
      <c r="B38" s="312"/>
      <c r="C38" s="300"/>
      <c r="D38" s="40"/>
      <c r="E38" s="40"/>
    </row>
    <row r="39" spans="1:5" ht="15.75">
      <c r="A39" s="296" t="s">
        <v>718</v>
      </c>
      <c r="B39" s="313"/>
      <c r="C39" s="308">
        <v>108136</v>
      </c>
      <c r="D39" s="9">
        <v>108000</v>
      </c>
      <c r="E39" s="9">
        <v>129600</v>
      </c>
    </row>
    <row r="40" spans="1:5" ht="15.75">
      <c r="A40" s="296" t="s">
        <v>719</v>
      </c>
      <c r="B40" s="313"/>
      <c r="C40" s="308">
        <v>115201.49</v>
      </c>
      <c r="D40" s="9">
        <v>360000</v>
      </c>
      <c r="E40" s="9">
        <v>370000</v>
      </c>
    </row>
    <row r="41" spans="1:5" ht="15.75">
      <c r="A41" s="296" t="s">
        <v>720</v>
      </c>
      <c r="B41" s="313"/>
      <c r="C41" s="308">
        <v>13517</v>
      </c>
      <c r="D41" s="9">
        <v>14400</v>
      </c>
      <c r="E41" s="9">
        <v>7200</v>
      </c>
    </row>
    <row r="42" spans="1:5" ht="15.75">
      <c r="A42" s="296" t="s">
        <v>721</v>
      </c>
      <c r="B42" s="313"/>
      <c r="C42" s="308">
        <v>5141</v>
      </c>
      <c r="D42" s="9">
        <v>3800</v>
      </c>
      <c r="E42" s="9">
        <v>3000</v>
      </c>
    </row>
    <row r="43" spans="1:5" ht="15.75">
      <c r="A43" s="321" t="s">
        <v>794</v>
      </c>
      <c r="B43" s="313"/>
      <c r="C43" s="308">
        <v>-16041</v>
      </c>
      <c r="D43" s="9"/>
      <c r="E43" s="9"/>
    </row>
    <row r="44" spans="1:5" ht="15.75">
      <c r="A44" s="316" t="s">
        <v>26</v>
      </c>
      <c r="B44" s="312"/>
      <c r="C44" s="308"/>
      <c r="D44" s="308"/>
      <c r="E44" s="308"/>
    </row>
    <row r="45" spans="1:5" ht="15.75">
      <c r="A45" s="306" t="s">
        <v>28</v>
      </c>
      <c r="B45" s="312"/>
      <c r="C45" s="348">
        <f>IF(C46*0.1&lt;C44,"Exceed 10% Rule","")</f>
      </c>
      <c r="D45" s="348">
        <f>IF(D46*0.1&lt;D44,"Exceed 10% Rule","")</f>
      </c>
      <c r="E45" s="348">
        <f>IF(E46*0.1&lt;E44,"Exceed 10% Rule","")</f>
      </c>
    </row>
    <row r="46" spans="1:5" ht="15.75">
      <c r="A46" s="153" t="s">
        <v>165</v>
      </c>
      <c r="B46" s="312"/>
      <c r="C46" s="309">
        <f>SUM(C39:C44)</f>
        <v>225954.49</v>
      </c>
      <c r="D46" s="263">
        <f>SUM(D39:D44)</f>
        <v>486200</v>
      </c>
      <c r="E46" s="263">
        <f>SUM(E39:E44)</f>
        <v>509800</v>
      </c>
    </row>
    <row r="47" spans="1:5" ht="15.75">
      <c r="A47" s="153" t="s">
        <v>166</v>
      </c>
      <c r="B47" s="312"/>
      <c r="C47" s="309">
        <f>C37+C46</f>
        <v>242627.49</v>
      </c>
      <c r="D47" s="263">
        <f>D37+D46</f>
        <v>495726.49</v>
      </c>
      <c r="E47" s="263">
        <f>E37+E46</f>
        <v>521026.49</v>
      </c>
    </row>
    <row r="48" spans="1:5" ht="15.75">
      <c r="A48" s="37" t="s">
        <v>168</v>
      </c>
      <c r="B48" s="312"/>
      <c r="C48" s="119"/>
      <c r="D48" s="85"/>
      <c r="E48" s="85"/>
    </row>
    <row r="49" spans="1:5" ht="15.75">
      <c r="A49" s="296" t="s">
        <v>700</v>
      </c>
      <c r="B49" s="313"/>
      <c r="C49" s="308">
        <v>4832</v>
      </c>
      <c r="D49" s="9">
        <v>15000</v>
      </c>
      <c r="E49" s="9">
        <v>10000</v>
      </c>
    </row>
    <row r="50" spans="1:5" ht="15.75">
      <c r="A50" s="296" t="s">
        <v>670</v>
      </c>
      <c r="B50" s="313"/>
      <c r="C50" s="308">
        <v>1151</v>
      </c>
      <c r="D50" s="9">
        <v>1000</v>
      </c>
      <c r="E50" s="9">
        <v>1000</v>
      </c>
    </row>
    <row r="51" spans="1:5" ht="15.75">
      <c r="A51" s="296" t="s">
        <v>593</v>
      </c>
      <c r="B51" s="313"/>
      <c r="C51" s="308">
        <v>225622</v>
      </c>
      <c r="D51" s="9">
        <f>108000+360000</f>
        <v>468000</v>
      </c>
      <c r="E51" s="9">
        <v>500000</v>
      </c>
    </row>
    <row r="52" spans="1:5" ht="15.75">
      <c r="A52" s="296"/>
      <c r="B52" s="313"/>
      <c r="C52" s="308"/>
      <c r="D52" s="9"/>
      <c r="E52" s="9"/>
    </row>
    <row r="53" spans="1:5" ht="15.75">
      <c r="A53" s="296"/>
      <c r="B53" s="313"/>
      <c r="C53" s="308"/>
      <c r="D53" s="9"/>
      <c r="E53" s="9"/>
    </row>
    <row r="54" spans="1:5" ht="15.75">
      <c r="A54" s="296"/>
      <c r="B54" s="313"/>
      <c r="C54" s="308"/>
      <c r="D54" s="9"/>
      <c r="E54" s="9"/>
    </row>
    <row r="55" spans="1:5" ht="15.75">
      <c r="A55" s="296"/>
      <c r="B55" s="313"/>
      <c r="C55" s="308"/>
      <c r="D55" s="9"/>
      <c r="E55" s="9"/>
    </row>
    <row r="56" spans="1:5" ht="15.75">
      <c r="A56" s="296"/>
      <c r="B56" s="313"/>
      <c r="C56" s="308"/>
      <c r="D56" s="9"/>
      <c r="E56" s="9"/>
    </row>
    <row r="57" spans="1:5" ht="15.75">
      <c r="A57" s="314" t="s">
        <v>26</v>
      </c>
      <c r="B57" s="344"/>
      <c r="C57" s="308">
        <v>1496</v>
      </c>
      <c r="D57" s="308">
        <v>500</v>
      </c>
      <c r="E57" s="308"/>
    </row>
    <row r="58" spans="1:5" ht="15.75">
      <c r="A58" s="346" t="s">
        <v>27</v>
      </c>
      <c r="B58" s="345"/>
      <c r="C58" s="348">
        <f>IF(C59*0.1&lt;C57,"Exceed 10% Rule","")</f>
      </c>
      <c r="D58" s="348">
        <f>IF(D59*0.1&lt;D57,"Exceed 10% Rule","")</f>
      </c>
      <c r="E58" s="348">
        <f>IF(E59*0.1&lt;E57,"Exceed 10% Rule","")</f>
      </c>
    </row>
    <row r="59" spans="1:5" ht="15.75">
      <c r="A59" s="153" t="s">
        <v>172</v>
      </c>
      <c r="B59" s="347"/>
      <c r="C59" s="309">
        <f>SUM(C49:C57)</f>
        <v>233101</v>
      </c>
      <c r="D59" s="263">
        <f>SUM(D49:D57)</f>
        <v>484500</v>
      </c>
      <c r="E59" s="263">
        <f>SUM(E49:E57)</f>
        <v>511000</v>
      </c>
    </row>
    <row r="60" spans="1:5" ht="15.75">
      <c r="A60" s="37" t="s">
        <v>290</v>
      </c>
      <c r="B60" s="304"/>
      <c r="C60" s="310">
        <f>C47-C59</f>
        <v>9526.48999999999</v>
      </c>
      <c r="D60" s="262">
        <f>D47-D59</f>
        <v>11226.48999999999</v>
      </c>
      <c r="E60" s="262">
        <f>E47-E59</f>
        <v>10026.48999999999</v>
      </c>
    </row>
    <row r="61" spans="1:5" ht="15.75">
      <c r="A61" s="23" t="str">
        <f>CONCATENATE("",E1-2,"/",E1-1," Budget Authority Amount:")</f>
        <v>2008/2009 Budget Authority Amount:</v>
      </c>
      <c r="B61" s="331"/>
      <c r="C61" s="331">
        <f>inputOth!B76</f>
        <v>245000</v>
      </c>
      <c r="D61" s="331">
        <f>inputPrYr!D37</f>
        <v>489500</v>
      </c>
      <c r="E61" s="394">
        <f>IF(E60&lt;0,"Budget Violation","")</f>
      </c>
    </row>
    <row r="62" spans="1:5" ht="15.75">
      <c r="A62" s="23" t="str">
        <f>CONCATENATE("Violation of Budget Law for ",E1-2,"/",E1-1,":")</f>
        <v>Violation of Budget Law for 2008/2009:</v>
      </c>
      <c r="B62" s="332"/>
      <c r="C62" s="332" t="str">
        <f>IF(C59&gt;C61,"Yes","No")</f>
        <v>No</v>
      </c>
      <c r="D62" s="332" t="str">
        <f>IF(D59&gt;D61,"Yes","No")</f>
        <v>No</v>
      </c>
      <c r="E62" s="21"/>
    </row>
    <row r="63" spans="1:5" ht="15.75">
      <c r="A63" s="23" t="str">
        <f>CONCATENATE("Possible Cash Violation for ",E1-2,":")</f>
        <v>Possible Cash Violation for 2008:</v>
      </c>
      <c r="B63" s="332"/>
      <c r="C63" s="332" t="str">
        <f>IF(C60&lt;0,"Yes","No")</f>
        <v>No</v>
      </c>
      <c r="D63" s="332"/>
      <c r="E63" s="21"/>
    </row>
    <row r="64" spans="1:5" ht="15.75">
      <c r="A64" s="21"/>
      <c r="B64" s="21"/>
      <c r="C64" s="21"/>
      <c r="D64" s="21"/>
      <c r="E64" s="21"/>
    </row>
    <row r="65" spans="1:5" ht="15.75">
      <c r="A65" s="24"/>
      <c r="B65" s="24" t="s">
        <v>175</v>
      </c>
      <c r="C65" s="100">
        <v>13</v>
      </c>
      <c r="D65" s="21"/>
      <c r="E65" s="21"/>
    </row>
  </sheetData>
  <sheetProtection sheet="1" objects="1" scenarios="1"/>
  <conditionalFormatting sqref="C13">
    <cfRule type="cellIs" priority="1" dxfId="245" operator="greaterThan" stopIfTrue="1">
      <formula>$C$15*0.1</formula>
    </cfRule>
  </conditionalFormatting>
  <conditionalFormatting sqref="D13">
    <cfRule type="cellIs" priority="2" dxfId="245" operator="greaterThan" stopIfTrue="1">
      <formula>$D$15*0.1</formula>
    </cfRule>
  </conditionalFormatting>
  <conditionalFormatting sqref="E13">
    <cfRule type="cellIs" priority="3" dxfId="245" operator="greaterThan" stopIfTrue="1">
      <formula>$E$15*0.1</formula>
    </cfRule>
  </conditionalFormatting>
  <conditionalFormatting sqref="C26">
    <cfRule type="cellIs" priority="4" dxfId="245" operator="greaterThan" stopIfTrue="1">
      <formula>$C$28*0.1</formula>
    </cfRule>
  </conditionalFormatting>
  <conditionalFormatting sqref="D26">
    <cfRule type="cellIs" priority="5" dxfId="245" operator="greaterThan" stopIfTrue="1">
      <formula>$D$28*0.1</formula>
    </cfRule>
  </conditionalFormatting>
  <conditionalFormatting sqref="E26">
    <cfRule type="cellIs" priority="6" dxfId="245" operator="greaterThan" stopIfTrue="1">
      <formula>$E$28*0.1</formula>
    </cfRule>
  </conditionalFormatting>
  <conditionalFormatting sqref="C44">
    <cfRule type="cellIs" priority="7" dxfId="245" operator="greaterThan" stopIfTrue="1">
      <formula>$C$46*0.1</formula>
    </cfRule>
  </conditionalFormatting>
  <conditionalFormatting sqref="D44">
    <cfRule type="cellIs" priority="8" dxfId="245" operator="greaterThan" stopIfTrue="1">
      <formula>$D$46*0.1</formula>
    </cfRule>
  </conditionalFormatting>
  <conditionalFormatting sqref="E44">
    <cfRule type="cellIs" priority="9" dxfId="245" operator="greaterThan" stopIfTrue="1">
      <formula>$E$46*0.1</formula>
    </cfRule>
  </conditionalFormatting>
  <conditionalFormatting sqref="C57">
    <cfRule type="cellIs" priority="10" dxfId="245" operator="greaterThan" stopIfTrue="1">
      <formula>$C$59*0.1</formula>
    </cfRule>
  </conditionalFormatting>
  <conditionalFormatting sqref="D57">
    <cfRule type="cellIs" priority="11" dxfId="245" operator="greaterThan" stopIfTrue="1">
      <formula>$D$59*0.1</formula>
    </cfRule>
  </conditionalFormatting>
  <conditionalFormatting sqref="E57">
    <cfRule type="cellIs" priority="12" dxfId="245" operator="greaterThan" stopIfTrue="1">
      <formula>$E$59*0.1</formula>
    </cfRule>
  </conditionalFormatting>
  <conditionalFormatting sqref="D59">
    <cfRule type="cellIs" priority="13" dxfId="0" operator="greaterThan" stopIfTrue="1">
      <formula>$D$61</formula>
    </cfRule>
  </conditionalFormatting>
  <conditionalFormatting sqref="C59">
    <cfRule type="cellIs" priority="14" dxfId="0" operator="greaterThan" stopIfTrue="1">
      <formula>$C$61</formula>
    </cfRule>
  </conditionalFormatting>
  <conditionalFormatting sqref="C60 E60 C29 E29">
    <cfRule type="cellIs" priority="15" dxfId="0" operator="lessThan" stopIfTrue="1">
      <formula>0</formula>
    </cfRule>
  </conditionalFormatting>
  <conditionalFormatting sqref="D28">
    <cfRule type="cellIs" priority="16" dxfId="0" operator="greaterThan" stopIfTrue="1">
      <formula>$D$30</formula>
    </cfRule>
  </conditionalFormatting>
  <conditionalFormatting sqref="C28">
    <cfRule type="cellIs" priority="17" dxfId="0" operator="greaterThan" stopIfTrue="1">
      <formula>$C$30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oddFooter>&amp;Lrevised 8/21/08</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10">
      <selection activeCell="A11" sqref="A11"/>
    </sheetView>
  </sheetViews>
  <sheetFormatPr defaultColWidth="8.796875" defaultRowHeight="15"/>
  <cols>
    <col min="1" max="1" width="28.796875" style="7" customWidth="1"/>
    <col min="2" max="2" width="9.59765625" style="7" customWidth="1"/>
    <col min="3" max="4" width="15.796875" style="7" customWidth="1"/>
    <col min="5" max="5" width="16.19921875" style="7" customWidth="1"/>
    <col min="6" max="16384" width="8.8984375" style="7" customWidth="1"/>
  </cols>
  <sheetData>
    <row r="1" spans="1:5" ht="15.75">
      <c r="A1" s="72" t="str">
        <f>(inputPrYr!D2)</f>
        <v>CITY OF PARK CITY</v>
      </c>
      <c r="B1" s="72"/>
      <c r="C1" s="21"/>
      <c r="D1" s="21"/>
      <c r="E1" s="139">
        <f>inputPrYr!C5</f>
        <v>2010</v>
      </c>
    </row>
    <row r="2" spans="1:5" ht="15.75">
      <c r="A2" s="21"/>
      <c r="B2" s="21"/>
      <c r="C2" s="21"/>
      <c r="D2" s="21"/>
      <c r="E2" s="24"/>
    </row>
    <row r="3" spans="1:5" ht="15.75">
      <c r="A3" s="90" t="s">
        <v>234</v>
      </c>
      <c r="B3" s="90"/>
      <c r="C3" s="96"/>
      <c r="D3" s="96"/>
      <c r="E3" s="96"/>
    </row>
    <row r="4" spans="1:5" ht="15.75">
      <c r="A4" s="25" t="s">
        <v>156</v>
      </c>
      <c r="B4" s="25"/>
      <c r="C4" s="93" t="s">
        <v>180</v>
      </c>
      <c r="D4" s="33" t="s">
        <v>317</v>
      </c>
      <c r="E4" s="33" t="s">
        <v>318</v>
      </c>
    </row>
    <row r="5" spans="1:5" ht="15.75">
      <c r="A5" s="138" t="str">
        <f>inputPrYr!B38</f>
        <v>Sewer Special Reserve Funds</v>
      </c>
      <c r="B5" s="138"/>
      <c r="C5" s="147">
        <f>E1-2</f>
        <v>2008</v>
      </c>
      <c r="D5" s="147">
        <f>E1-1</f>
        <v>2009</v>
      </c>
      <c r="E5" s="147">
        <f>E1</f>
        <v>2010</v>
      </c>
    </row>
    <row r="6" spans="1:5" ht="15.75">
      <c r="A6" s="306" t="s">
        <v>289</v>
      </c>
      <c r="B6" s="312"/>
      <c r="C6" s="308">
        <v>349317</v>
      </c>
      <c r="D6" s="85">
        <f>C29</f>
        <v>376917</v>
      </c>
      <c r="E6" s="85">
        <f>D29</f>
        <v>241917</v>
      </c>
    </row>
    <row r="7" spans="1:5" ht="15.75">
      <c r="A7" s="311" t="s">
        <v>291</v>
      </c>
      <c r="B7" s="312"/>
      <c r="C7" s="300"/>
      <c r="D7" s="40"/>
      <c r="E7" s="40"/>
    </row>
    <row r="8" spans="1:5" ht="15.75">
      <c r="A8" s="296" t="s">
        <v>736</v>
      </c>
      <c r="B8" s="313"/>
      <c r="C8" s="308">
        <v>16700</v>
      </c>
      <c r="D8" s="9">
        <v>20000</v>
      </c>
      <c r="E8" s="9">
        <v>16000</v>
      </c>
    </row>
    <row r="9" spans="1:5" ht="15.75">
      <c r="A9" s="296" t="s">
        <v>737</v>
      </c>
      <c r="B9" s="313"/>
      <c r="C9" s="308">
        <v>15600</v>
      </c>
      <c r="D9" s="9">
        <v>20000</v>
      </c>
      <c r="E9" s="9">
        <v>15000</v>
      </c>
    </row>
    <row r="10" spans="1:5" ht="15.75">
      <c r="A10" s="296" t="s">
        <v>784</v>
      </c>
      <c r="B10" s="313"/>
      <c r="C10" s="308">
        <v>9000</v>
      </c>
      <c r="D10" s="9">
        <v>10000</v>
      </c>
      <c r="E10" s="9">
        <v>4500</v>
      </c>
    </row>
    <row r="11" spans="1:5" ht="15.75">
      <c r="A11" s="296"/>
      <c r="B11" s="313"/>
      <c r="C11" s="308"/>
      <c r="D11" s="9"/>
      <c r="E11" s="9"/>
    </row>
    <row r="12" spans="1:5" ht="15.75">
      <c r="A12" s="307" t="s">
        <v>164</v>
      </c>
      <c r="B12" s="313"/>
      <c r="C12" s="308"/>
      <c r="D12" s="9"/>
      <c r="E12" s="9"/>
    </row>
    <row r="13" spans="1:5" ht="15.75">
      <c r="A13" s="316" t="s">
        <v>26</v>
      </c>
      <c r="B13" s="312"/>
      <c r="C13" s="308"/>
      <c r="D13" s="308"/>
      <c r="E13" s="308"/>
    </row>
    <row r="14" spans="1:5" ht="15.75">
      <c r="A14" s="306" t="s">
        <v>28</v>
      </c>
      <c r="B14" s="312"/>
      <c r="C14" s="348">
        <f>IF(C15*0.1&lt;C13,"Exceed 10% Rule","")</f>
      </c>
      <c r="D14" s="348">
        <f>IF(D15*0.1&lt;D13,"Exceed 10% Rule","")</f>
      </c>
      <c r="E14" s="348">
        <f>IF(E15*0.1&lt;E13,"Exceed 10% Rule","")</f>
      </c>
    </row>
    <row r="15" spans="1:5" ht="15.75">
      <c r="A15" s="153" t="s">
        <v>165</v>
      </c>
      <c r="B15" s="312"/>
      <c r="C15" s="309">
        <f>SUM(C8:C13)</f>
        <v>41300</v>
      </c>
      <c r="D15" s="263">
        <f>SUM(D8:D13)</f>
        <v>50000</v>
      </c>
      <c r="E15" s="263">
        <f>SUM(E8:E13)</f>
        <v>35500</v>
      </c>
    </row>
    <row r="16" spans="1:5" ht="15.75">
      <c r="A16" s="153" t="s">
        <v>166</v>
      </c>
      <c r="B16" s="312"/>
      <c r="C16" s="309">
        <f>C6+C15</f>
        <v>390617</v>
      </c>
      <c r="D16" s="263">
        <f>D6+D15</f>
        <v>426917</v>
      </c>
      <c r="E16" s="263">
        <f>E6+E15</f>
        <v>277417</v>
      </c>
    </row>
    <row r="17" spans="1:5" ht="15.75">
      <c r="A17" s="37" t="s">
        <v>168</v>
      </c>
      <c r="B17" s="312"/>
      <c r="C17" s="119"/>
      <c r="D17" s="85"/>
      <c r="E17" s="85"/>
    </row>
    <row r="18" spans="1:5" ht="15.75">
      <c r="A18" s="296" t="s">
        <v>595</v>
      </c>
      <c r="B18" s="313"/>
      <c r="C18" s="308">
        <v>13700</v>
      </c>
      <c r="D18" s="9">
        <v>110000</v>
      </c>
      <c r="E18" s="9">
        <v>200000</v>
      </c>
    </row>
    <row r="19" spans="1:5" ht="15.75">
      <c r="A19" s="296" t="s">
        <v>738</v>
      </c>
      <c r="B19" s="313"/>
      <c r="C19" s="308"/>
      <c r="D19" s="9">
        <v>75000</v>
      </c>
      <c r="E19" s="9">
        <v>60000</v>
      </c>
    </row>
    <row r="20" spans="1:5" ht="15.75">
      <c r="A20" s="296"/>
      <c r="B20" s="313"/>
      <c r="C20" s="308"/>
      <c r="D20" s="9"/>
      <c r="E20" s="9"/>
    </row>
    <row r="21" spans="1:5" ht="15.75">
      <c r="A21" s="296"/>
      <c r="B21" s="313"/>
      <c r="C21" s="308"/>
      <c r="D21" s="9"/>
      <c r="E21" s="9"/>
    </row>
    <row r="22" spans="1:5" ht="15.75">
      <c r="A22" s="296"/>
      <c r="B22" s="313"/>
      <c r="C22" s="308"/>
      <c r="D22" s="9"/>
      <c r="E22" s="9"/>
    </row>
    <row r="23" spans="1:5" ht="15.75">
      <c r="A23" s="296"/>
      <c r="B23" s="313"/>
      <c r="C23" s="308"/>
      <c r="D23" s="9"/>
      <c r="E23" s="9"/>
    </row>
    <row r="24" spans="1:5" ht="15.75">
      <c r="A24" s="296"/>
      <c r="B24" s="313"/>
      <c r="C24" s="308"/>
      <c r="D24" s="9"/>
      <c r="E24" s="9"/>
    </row>
    <row r="25" spans="1:5" ht="15.75">
      <c r="A25" s="296"/>
      <c r="B25" s="313"/>
      <c r="C25" s="308"/>
      <c r="D25" s="9"/>
      <c r="E25" s="9"/>
    </row>
    <row r="26" spans="1:5" ht="15.75">
      <c r="A26" s="314" t="s">
        <v>26</v>
      </c>
      <c r="B26" s="312"/>
      <c r="C26" s="308"/>
      <c r="D26" s="308"/>
      <c r="E26" s="308"/>
    </row>
    <row r="27" spans="1:5" ht="15.75">
      <c r="A27" s="314" t="s">
        <v>27</v>
      </c>
      <c r="B27" s="312"/>
      <c r="C27" s="348">
        <f>IF(C28*0.1&lt;C26,"Exceed 10% Rule","")</f>
      </c>
      <c r="D27" s="348">
        <f>IF(D28*0.1&lt;D26,"Exceed 10% Rule","")</f>
      </c>
      <c r="E27" s="348">
        <f>IF(E28*0.1&lt;E26,"Exceed 10% Rule","")</f>
      </c>
    </row>
    <row r="28" spans="1:5" ht="15.75">
      <c r="A28" s="153" t="s">
        <v>172</v>
      </c>
      <c r="B28" s="312"/>
      <c r="C28" s="309">
        <f>SUM(C18:C26)</f>
        <v>13700</v>
      </c>
      <c r="D28" s="263">
        <f>SUM(D18:D26)</f>
        <v>185000</v>
      </c>
      <c r="E28" s="263">
        <f>SUM(E18:E26)</f>
        <v>260000</v>
      </c>
    </row>
    <row r="29" spans="1:5" ht="15.75">
      <c r="A29" s="37" t="s">
        <v>290</v>
      </c>
      <c r="B29" s="312"/>
      <c r="C29" s="310">
        <f>C16-C28</f>
        <v>376917</v>
      </c>
      <c r="D29" s="262">
        <f>D16-D28</f>
        <v>241917</v>
      </c>
      <c r="E29" s="262">
        <f>E16-E28</f>
        <v>17417</v>
      </c>
    </row>
    <row r="30" spans="1:5" ht="15.75">
      <c r="A30" s="23" t="str">
        <f>CONCATENATE("",E1-2,"/",E1-1," Budget Authority Amount:")</f>
        <v>2008/2009 Budget Authority Amount:</v>
      </c>
      <c r="B30" s="331"/>
      <c r="C30" s="331">
        <f>inputOth!B77</f>
        <v>260000</v>
      </c>
      <c r="D30" s="331">
        <f>inputPrYr!D38</f>
        <v>185000</v>
      </c>
      <c r="E30" s="395">
        <f>IF(E29&lt;0,"Budget Violation","")</f>
      </c>
    </row>
    <row r="31" spans="1:5" ht="15.75">
      <c r="A31" s="23" t="str">
        <f>CONCATENATE("Violation of Budget Law for ",E1-2,"/",E1-1,":")</f>
        <v>Violation of Budget Law for 2008/2009:</v>
      </c>
      <c r="B31" s="332"/>
      <c r="C31" s="332" t="str">
        <f>IF(C28&gt;C30,"Yes","No")</f>
        <v>No</v>
      </c>
      <c r="D31" s="332" t="str">
        <f>IF(D28&gt;D30,"Yes","No")</f>
        <v>No</v>
      </c>
      <c r="E31" s="65"/>
    </row>
    <row r="32" spans="1:5" ht="15.75">
      <c r="A32" s="23" t="str">
        <f>CONCATENATE("Possible Cash Violation for ",E1-2,":")</f>
        <v>Possible Cash Violation for 2008:</v>
      </c>
      <c r="B32" s="332"/>
      <c r="C32" s="332" t="str">
        <f>IF(C29&lt;0,"Yes","No")</f>
        <v>No</v>
      </c>
      <c r="D32" s="332"/>
      <c r="E32" s="65"/>
    </row>
    <row r="33" spans="1:5" ht="15.75">
      <c r="A33" s="21"/>
      <c r="B33" s="21"/>
      <c r="C33" s="65"/>
      <c r="D33" s="65"/>
      <c r="E33" s="65"/>
    </row>
    <row r="34" spans="1:5" ht="15.75">
      <c r="A34" s="25" t="s">
        <v>156</v>
      </c>
      <c r="B34" s="25"/>
      <c r="C34" s="102"/>
      <c r="D34" s="102"/>
      <c r="E34" s="102"/>
    </row>
    <row r="35" spans="1:5" ht="15.75">
      <c r="A35" s="21"/>
      <c r="B35" s="21"/>
      <c r="C35" s="93" t="s">
        <v>180</v>
      </c>
      <c r="D35" s="33" t="s">
        <v>317</v>
      </c>
      <c r="E35" s="33" t="s">
        <v>318</v>
      </c>
    </row>
    <row r="36" spans="1:5" ht="15.75">
      <c r="A36" s="138" t="str">
        <f>inputPrYr!B39</f>
        <v>Water Special Reserve Funds</v>
      </c>
      <c r="B36" s="138"/>
      <c r="C36" s="147">
        <f>C5</f>
        <v>2008</v>
      </c>
      <c r="D36" s="147">
        <f>D5</f>
        <v>2009</v>
      </c>
      <c r="E36" s="147">
        <f>E5</f>
        <v>2010</v>
      </c>
    </row>
    <row r="37" spans="1:5" ht="15.75">
      <c r="A37" s="306" t="s">
        <v>289</v>
      </c>
      <c r="B37" s="312"/>
      <c r="C37" s="308">
        <v>340187</v>
      </c>
      <c r="D37" s="85">
        <f>C60</f>
        <v>386287</v>
      </c>
      <c r="E37" s="85">
        <f>D60</f>
        <v>322508</v>
      </c>
    </row>
    <row r="38" spans="1:5" ht="15.75">
      <c r="A38" s="311" t="s">
        <v>291</v>
      </c>
      <c r="B38" s="312"/>
      <c r="C38" s="300"/>
      <c r="D38" s="40"/>
      <c r="E38" s="40"/>
    </row>
    <row r="39" spans="1:5" ht="15.75">
      <c r="A39" s="296" t="s">
        <v>736</v>
      </c>
      <c r="B39" s="313"/>
      <c r="C39" s="308">
        <v>17600</v>
      </c>
      <c r="D39" s="9">
        <v>13000</v>
      </c>
      <c r="E39" s="9">
        <v>13000</v>
      </c>
    </row>
    <row r="40" spans="1:5" ht="15.75">
      <c r="A40" s="296" t="s">
        <v>737</v>
      </c>
      <c r="B40" s="313"/>
      <c r="C40" s="308">
        <v>16500</v>
      </c>
      <c r="D40" s="9">
        <v>20000</v>
      </c>
      <c r="E40" s="9">
        <v>16500</v>
      </c>
    </row>
    <row r="41" spans="1:5" ht="15.75">
      <c r="A41" s="296" t="s">
        <v>783</v>
      </c>
      <c r="B41" s="313"/>
      <c r="C41" s="308">
        <v>12000</v>
      </c>
      <c r="D41" s="9">
        <v>13000</v>
      </c>
      <c r="E41" s="9">
        <v>12000</v>
      </c>
    </row>
    <row r="42" spans="1:5" ht="15.75">
      <c r="A42" s="296"/>
      <c r="B42" s="313"/>
      <c r="C42" s="308"/>
      <c r="D42" s="9"/>
      <c r="E42" s="9"/>
    </row>
    <row r="43" spans="1:5" ht="15.75">
      <c r="A43" s="307" t="s">
        <v>164</v>
      </c>
      <c r="B43" s="313"/>
      <c r="C43" s="308"/>
      <c r="D43" s="9"/>
      <c r="E43" s="9"/>
    </row>
    <row r="44" spans="1:5" ht="15.75">
      <c r="A44" s="316" t="s">
        <v>26</v>
      </c>
      <c r="B44" s="312"/>
      <c r="C44" s="308"/>
      <c r="D44" s="308"/>
      <c r="E44" s="308"/>
    </row>
    <row r="45" spans="1:5" ht="15.75">
      <c r="A45" s="306" t="s">
        <v>28</v>
      </c>
      <c r="B45" s="312"/>
      <c r="C45" s="348">
        <f>IF(C46*0.1&lt;C44,"Exceed 10% Rule","")</f>
      </c>
      <c r="D45" s="348">
        <f>IF(D46*0.1&lt;D44,"Exceed 10% Rule","")</f>
      </c>
      <c r="E45" s="348">
        <f>IF(E46*0.1&lt;E44,"Exceed 10% Rule","")</f>
      </c>
    </row>
    <row r="46" spans="1:5" ht="15.75">
      <c r="A46" s="153" t="s">
        <v>165</v>
      </c>
      <c r="B46" s="312"/>
      <c r="C46" s="309">
        <f>SUM(C39:C44)</f>
        <v>46100</v>
      </c>
      <c r="D46" s="263">
        <f>SUM(D39:D44)</f>
        <v>46000</v>
      </c>
      <c r="E46" s="263">
        <f>SUM(E39:E44)</f>
        <v>41500</v>
      </c>
    </row>
    <row r="47" spans="1:5" ht="15.75">
      <c r="A47" s="153" t="s">
        <v>166</v>
      </c>
      <c r="B47" s="312"/>
      <c r="C47" s="309">
        <f>C37+C46</f>
        <v>386287</v>
      </c>
      <c r="D47" s="263">
        <f>D37+D46</f>
        <v>432287</v>
      </c>
      <c r="E47" s="263">
        <f>E37+E46</f>
        <v>364008</v>
      </c>
    </row>
    <row r="48" spans="1:5" ht="15.75">
      <c r="A48" s="37" t="s">
        <v>168</v>
      </c>
      <c r="B48" s="312"/>
      <c r="C48" s="119"/>
      <c r="D48" s="85"/>
      <c r="E48" s="85"/>
    </row>
    <row r="49" spans="1:5" ht="15.75">
      <c r="A49" s="296" t="s">
        <v>595</v>
      </c>
      <c r="B49" s="313"/>
      <c r="C49" s="308"/>
      <c r="D49" s="9">
        <v>69779</v>
      </c>
      <c r="E49" s="9">
        <v>250000</v>
      </c>
    </row>
    <row r="50" spans="1:5" ht="15.75">
      <c r="A50" s="296" t="s">
        <v>738</v>
      </c>
      <c r="B50" s="313"/>
      <c r="C50" s="308"/>
      <c r="D50" s="9">
        <v>40000</v>
      </c>
      <c r="E50" s="9">
        <v>100000</v>
      </c>
    </row>
    <row r="51" spans="1:5" ht="15.75">
      <c r="A51" s="296"/>
      <c r="B51" s="313"/>
      <c r="C51" s="308"/>
      <c r="D51" s="9"/>
      <c r="E51" s="9"/>
    </row>
    <row r="52" spans="1:5" ht="15.75">
      <c r="A52" s="296"/>
      <c r="B52" s="313"/>
      <c r="C52" s="308"/>
      <c r="D52" s="9"/>
      <c r="E52" s="9"/>
    </row>
    <row r="53" spans="1:5" ht="15.75">
      <c r="A53" s="296"/>
      <c r="B53" s="313"/>
      <c r="C53" s="308"/>
      <c r="D53" s="9"/>
      <c r="E53" s="9"/>
    </row>
    <row r="54" spans="1:5" ht="15.75">
      <c r="A54" s="296"/>
      <c r="B54" s="313"/>
      <c r="C54" s="308"/>
      <c r="D54" s="9"/>
      <c r="E54" s="9"/>
    </row>
    <row r="55" spans="1:5" ht="15.75">
      <c r="A55" s="296"/>
      <c r="B55" s="313"/>
      <c r="C55" s="308"/>
      <c r="D55" s="9"/>
      <c r="E55" s="9"/>
    </row>
    <row r="56" spans="1:5" ht="15.75">
      <c r="A56" s="296"/>
      <c r="B56" s="313"/>
      <c r="C56" s="308"/>
      <c r="D56" s="9"/>
      <c r="E56" s="9"/>
    </row>
    <row r="57" spans="1:5" ht="15.75">
      <c r="A57" s="314" t="s">
        <v>26</v>
      </c>
      <c r="B57" s="312"/>
      <c r="C57" s="308"/>
      <c r="D57" s="308"/>
      <c r="E57" s="308"/>
    </row>
    <row r="58" spans="1:5" ht="15.75">
      <c r="A58" s="314" t="s">
        <v>27</v>
      </c>
      <c r="B58" s="312"/>
      <c r="C58" s="348">
        <f>IF(C59*0.1&lt;C57,"Exceed 10% Rule","")</f>
      </c>
      <c r="D58" s="348">
        <f>IF(D59*0.1&lt;D57,"Exceed 10% Rule","")</f>
      </c>
      <c r="E58" s="348">
        <f>IF(E59*0.1&lt;E57,"Exceed 10% Rule","")</f>
      </c>
    </row>
    <row r="59" spans="1:5" ht="15.75">
      <c r="A59" s="153" t="s">
        <v>172</v>
      </c>
      <c r="B59" s="312"/>
      <c r="C59" s="309">
        <f>SUM(C49:C57)</f>
        <v>0</v>
      </c>
      <c r="D59" s="263">
        <f>SUM(D49:D57)</f>
        <v>109779</v>
      </c>
      <c r="E59" s="263">
        <f>SUM(E49:E57)</f>
        <v>350000</v>
      </c>
    </row>
    <row r="60" spans="1:5" ht="15.75">
      <c r="A60" s="37" t="s">
        <v>290</v>
      </c>
      <c r="B60" s="312"/>
      <c r="C60" s="310">
        <f>C47-C59</f>
        <v>386287</v>
      </c>
      <c r="D60" s="262">
        <f>D47-D59</f>
        <v>322508</v>
      </c>
      <c r="E60" s="262">
        <f>E47-E59</f>
        <v>14008</v>
      </c>
    </row>
    <row r="61" spans="1:5" ht="15.75">
      <c r="A61" s="23" t="str">
        <f>CONCATENATE("",E1-2,"/",E1-1," Budget Authority Amount:")</f>
        <v>2008/2009 Budget Authority Amount:</v>
      </c>
      <c r="B61" s="331"/>
      <c r="C61" s="331">
        <f>inputOth!B78</f>
        <v>109779</v>
      </c>
      <c r="D61" s="331">
        <f>inputPrYr!D39</f>
        <v>340000</v>
      </c>
      <c r="E61" s="394">
        <f>IF(E60&lt;0,"Budget Violation","")</f>
      </c>
    </row>
    <row r="62" spans="1:5" ht="15.75">
      <c r="A62" s="23" t="str">
        <f>CONCATENATE("Violation of Budget Law for ",E1-2,"/",E1-1,":")</f>
        <v>Violation of Budget Law for 2008/2009:</v>
      </c>
      <c r="B62" s="332"/>
      <c r="C62" s="332" t="str">
        <f>IF(C59&gt;C61,"Yes","No")</f>
        <v>No</v>
      </c>
      <c r="D62" s="332" t="str">
        <f>IF(D59&gt;D61,"Yes","No")</f>
        <v>No</v>
      </c>
      <c r="E62" s="21"/>
    </row>
    <row r="63" spans="1:5" ht="15.75">
      <c r="A63" s="23" t="str">
        <f>CONCATENATE("Possible Cash Violation for ",E1-2,":")</f>
        <v>Possible Cash Violation for 2008:</v>
      </c>
      <c r="B63" s="332"/>
      <c r="C63" s="332" t="str">
        <f>IF(C60&lt;0,"Yes","No")</f>
        <v>No</v>
      </c>
      <c r="D63" s="332"/>
      <c r="E63" s="21"/>
    </row>
    <row r="64" spans="1:5" ht="15.75">
      <c r="A64" s="21"/>
      <c r="B64" s="21"/>
      <c r="C64" s="21"/>
      <c r="D64" s="21"/>
      <c r="E64" s="21"/>
    </row>
    <row r="65" spans="1:5" ht="15.75">
      <c r="A65" s="24"/>
      <c r="B65" s="24" t="s">
        <v>175</v>
      </c>
      <c r="C65" s="100">
        <v>14</v>
      </c>
      <c r="D65" s="21"/>
      <c r="E65" s="21"/>
    </row>
  </sheetData>
  <sheetProtection sheet="1" objects="1" scenarios="1"/>
  <conditionalFormatting sqref="C13">
    <cfRule type="cellIs" priority="1" dxfId="245" operator="greaterThan" stopIfTrue="1">
      <formula>$C$15*0.1</formula>
    </cfRule>
  </conditionalFormatting>
  <conditionalFormatting sqref="D13">
    <cfRule type="cellIs" priority="2" dxfId="245" operator="greaterThan" stopIfTrue="1">
      <formula>$D$15*0.1</formula>
    </cfRule>
  </conditionalFormatting>
  <conditionalFormatting sqref="E13">
    <cfRule type="cellIs" priority="3" dxfId="245" operator="greaterThan" stopIfTrue="1">
      <formula>$E$15*0.1</formula>
    </cfRule>
  </conditionalFormatting>
  <conditionalFormatting sqref="C26">
    <cfRule type="cellIs" priority="4" dxfId="245" operator="greaterThan" stopIfTrue="1">
      <formula>$C$28*0.1</formula>
    </cfRule>
  </conditionalFormatting>
  <conditionalFormatting sqref="D26">
    <cfRule type="cellIs" priority="5" dxfId="245" operator="greaterThan" stopIfTrue="1">
      <formula>$D$28*0.1</formula>
    </cfRule>
  </conditionalFormatting>
  <conditionalFormatting sqref="E26">
    <cfRule type="cellIs" priority="6" dxfId="245" operator="greaterThan" stopIfTrue="1">
      <formula>$E$28*0.1</formula>
    </cfRule>
  </conditionalFormatting>
  <conditionalFormatting sqref="C44">
    <cfRule type="cellIs" priority="7" dxfId="245" operator="greaterThan" stopIfTrue="1">
      <formula>$C$46*0.1</formula>
    </cfRule>
  </conditionalFormatting>
  <conditionalFormatting sqref="D44">
    <cfRule type="cellIs" priority="8" dxfId="245" operator="greaterThan" stopIfTrue="1">
      <formula>$D$46*0.1</formula>
    </cfRule>
  </conditionalFormatting>
  <conditionalFormatting sqref="E44">
    <cfRule type="cellIs" priority="9" dxfId="245" operator="greaterThan" stopIfTrue="1">
      <formula>$E$46*0.1</formula>
    </cfRule>
  </conditionalFormatting>
  <conditionalFormatting sqref="C57">
    <cfRule type="cellIs" priority="10" dxfId="245" operator="greaterThan" stopIfTrue="1">
      <formula>$C$59*0.1</formula>
    </cfRule>
  </conditionalFormatting>
  <conditionalFormatting sqref="D57">
    <cfRule type="cellIs" priority="11" dxfId="245" operator="greaterThan" stopIfTrue="1">
      <formula>$D$59*0.1</formula>
    </cfRule>
  </conditionalFormatting>
  <conditionalFormatting sqref="E57">
    <cfRule type="cellIs" priority="12" dxfId="245" operator="greaterThan" stopIfTrue="1">
      <formula>$E$59*0.1</formula>
    </cfRule>
  </conditionalFormatting>
  <conditionalFormatting sqref="D59">
    <cfRule type="cellIs" priority="13" dxfId="0" operator="greaterThan" stopIfTrue="1">
      <formula>$D$61</formula>
    </cfRule>
  </conditionalFormatting>
  <conditionalFormatting sqref="C59">
    <cfRule type="cellIs" priority="14" dxfId="0" operator="greaterThan" stopIfTrue="1">
      <formula>$C$61</formula>
    </cfRule>
  </conditionalFormatting>
  <conditionalFormatting sqref="C60 E60 C29 E29">
    <cfRule type="cellIs" priority="15" dxfId="0" operator="lessThan" stopIfTrue="1">
      <formula>0</formula>
    </cfRule>
  </conditionalFormatting>
  <conditionalFormatting sqref="D28">
    <cfRule type="cellIs" priority="16" dxfId="0" operator="greaterThan" stopIfTrue="1">
      <formula>$D$30</formula>
    </cfRule>
  </conditionalFormatting>
  <conditionalFormatting sqref="C28">
    <cfRule type="cellIs" priority="17" dxfId="0" operator="greaterThan" stopIfTrue="1">
      <formula>$C$30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oddFooter>&amp;Lrevised 8/21/08</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52">
      <selection activeCell="C10" sqref="C10"/>
    </sheetView>
  </sheetViews>
  <sheetFormatPr defaultColWidth="8.796875" defaultRowHeight="15"/>
  <cols>
    <col min="1" max="1" width="28.796875" style="7" customWidth="1"/>
    <col min="2" max="2" width="9.59765625" style="7" customWidth="1"/>
    <col min="3" max="4" width="15.796875" style="7" customWidth="1"/>
    <col min="5" max="5" width="16.09765625" style="7" customWidth="1"/>
    <col min="6" max="16384" width="8.8984375" style="7" customWidth="1"/>
  </cols>
  <sheetData>
    <row r="1" spans="1:5" ht="15.75">
      <c r="A1" s="72" t="str">
        <f>(inputPrYr!D2)</f>
        <v>CITY OF PARK CITY</v>
      </c>
      <c r="B1" s="72"/>
      <c r="C1" s="21"/>
      <c r="D1" s="21"/>
      <c r="E1" s="139">
        <f>inputPrYr!C5</f>
        <v>2010</v>
      </c>
    </row>
    <row r="2" spans="1:5" ht="15.75">
      <c r="A2" s="21"/>
      <c r="B2" s="21"/>
      <c r="C2" s="21"/>
      <c r="D2" s="21"/>
      <c r="E2" s="24"/>
    </row>
    <row r="3" spans="1:5" ht="15.75">
      <c r="A3" s="90" t="s">
        <v>234</v>
      </c>
      <c r="B3" s="90"/>
      <c r="C3" s="96"/>
      <c r="D3" s="96"/>
      <c r="E3" s="96"/>
    </row>
    <row r="4" spans="1:5" ht="15.75">
      <c r="A4" s="25" t="s">
        <v>156</v>
      </c>
      <c r="B4" s="25"/>
      <c r="C4" s="93" t="s">
        <v>180</v>
      </c>
      <c r="D4" s="33" t="s">
        <v>317</v>
      </c>
      <c r="E4" s="33" t="s">
        <v>318</v>
      </c>
    </row>
    <row r="5" spans="1:5" ht="15.75">
      <c r="A5" s="138" t="str">
        <f>inputPrYr!B40</f>
        <v>CCUA Water/Sewer Fund</v>
      </c>
      <c r="B5" s="138"/>
      <c r="C5" s="147">
        <f>E1-2</f>
        <v>2008</v>
      </c>
      <c r="D5" s="147">
        <f>E1-1</f>
        <v>2009</v>
      </c>
      <c r="E5" s="147">
        <f>E1</f>
        <v>2010</v>
      </c>
    </row>
    <row r="6" spans="1:5" ht="15.75">
      <c r="A6" s="306" t="s">
        <v>289</v>
      </c>
      <c r="B6" s="312"/>
      <c r="C6" s="308"/>
      <c r="D6" s="85">
        <f>C29</f>
        <v>0</v>
      </c>
      <c r="E6" s="85">
        <f>D29</f>
        <v>0</v>
      </c>
    </row>
    <row r="7" spans="1:5" ht="15.75">
      <c r="A7" s="311" t="s">
        <v>291</v>
      </c>
      <c r="B7" s="312"/>
      <c r="C7" s="300"/>
      <c r="D7" s="40"/>
      <c r="E7" s="40"/>
    </row>
    <row r="8" spans="1:5" ht="15.75">
      <c r="A8" s="296"/>
      <c r="B8" s="313"/>
      <c r="C8" s="308" t="s">
        <v>766</v>
      </c>
      <c r="D8" s="308" t="s">
        <v>766</v>
      </c>
      <c r="E8" s="9"/>
    </row>
    <row r="9" spans="1:5" ht="15.75">
      <c r="A9" s="296"/>
      <c r="B9" s="313"/>
      <c r="C9" s="308" t="s">
        <v>767</v>
      </c>
      <c r="D9" s="308" t="s">
        <v>767</v>
      </c>
      <c r="E9" s="9"/>
    </row>
    <row r="10" spans="1:5" ht="15.75">
      <c r="A10" s="296"/>
      <c r="B10" s="313"/>
      <c r="C10" s="308"/>
      <c r="D10" s="9"/>
      <c r="E10" s="9"/>
    </row>
    <row r="11" spans="1:5" ht="15.75">
      <c r="A11" s="296"/>
      <c r="B11" s="313"/>
      <c r="C11" s="308"/>
      <c r="D11" s="9"/>
      <c r="E11" s="9"/>
    </row>
    <row r="12" spans="1:5" ht="15.75">
      <c r="A12" s="307" t="s">
        <v>164</v>
      </c>
      <c r="B12" s="313"/>
      <c r="C12" s="308"/>
      <c r="D12" s="9"/>
      <c r="E12" s="9"/>
    </row>
    <row r="13" spans="1:5" ht="15.75">
      <c r="A13" s="316" t="s">
        <v>26</v>
      </c>
      <c r="B13" s="312"/>
      <c r="C13" s="122"/>
      <c r="D13" s="122"/>
      <c r="E13" s="122"/>
    </row>
    <row r="14" spans="1:5" ht="15.75">
      <c r="A14" s="306" t="s">
        <v>28</v>
      </c>
      <c r="B14" s="312"/>
      <c r="C14" s="348">
        <f>IF(C15*0.1&lt;C13,"Exceed 10% Rule","")</f>
      </c>
      <c r="D14" s="348">
        <f>IF(D15*0.1&lt;D13,"Exceed 10% Rule","")</f>
      </c>
      <c r="E14" s="348">
        <f>IF(E15*0.1&lt;E13,"Exceed 10% Rule","")</f>
      </c>
    </row>
    <row r="15" spans="1:5" ht="15.75">
      <c r="A15" s="153" t="s">
        <v>165</v>
      </c>
      <c r="B15" s="312"/>
      <c r="C15" s="309">
        <f>SUM(C8:C13)</f>
        <v>0</v>
      </c>
      <c r="D15" s="263">
        <f>SUM(D8:D13)</f>
        <v>0</v>
      </c>
      <c r="E15" s="263">
        <f>SUM(E8:E13)</f>
        <v>0</v>
      </c>
    </row>
    <row r="16" spans="1:5" ht="15.75">
      <c r="A16" s="153" t="s">
        <v>166</v>
      </c>
      <c r="B16" s="312"/>
      <c r="C16" s="309">
        <f>C6+C15</f>
        <v>0</v>
      </c>
      <c r="D16" s="263">
        <f>D6+D15</f>
        <v>0</v>
      </c>
      <c r="E16" s="263">
        <f>E6+E15</f>
        <v>0</v>
      </c>
    </row>
    <row r="17" spans="1:5" ht="15.75">
      <c r="A17" s="37" t="s">
        <v>168</v>
      </c>
      <c r="B17" s="312"/>
      <c r="C17" s="119"/>
      <c r="D17" s="85"/>
      <c r="E17" s="85"/>
    </row>
    <row r="18" spans="1:5" ht="15.75">
      <c r="A18" s="296"/>
      <c r="B18" s="313"/>
      <c r="C18" s="308"/>
      <c r="D18" s="9"/>
      <c r="E18" s="9"/>
    </row>
    <row r="19" spans="1:5" ht="15.75">
      <c r="A19" s="296"/>
      <c r="B19" s="313"/>
      <c r="C19" s="308"/>
      <c r="D19" s="9"/>
      <c r="E19" s="9"/>
    </row>
    <row r="20" spans="1:5" ht="15.75">
      <c r="A20" s="296"/>
      <c r="B20" s="313"/>
      <c r="C20" s="308"/>
      <c r="D20" s="9"/>
      <c r="E20" s="9"/>
    </row>
    <row r="21" spans="1:5" ht="15.75">
      <c r="A21" s="296"/>
      <c r="B21" s="313"/>
      <c r="C21" s="308"/>
      <c r="D21" s="9"/>
      <c r="E21" s="9"/>
    </row>
    <row r="22" spans="1:5" ht="15.75">
      <c r="A22" s="296"/>
      <c r="B22" s="313"/>
      <c r="C22" s="308"/>
      <c r="D22" s="9"/>
      <c r="E22" s="9"/>
    </row>
    <row r="23" spans="1:5" ht="15.75">
      <c r="A23" s="296"/>
      <c r="B23" s="313"/>
      <c r="C23" s="308"/>
      <c r="D23" s="9"/>
      <c r="E23" s="9"/>
    </row>
    <row r="24" spans="1:5" ht="15.75">
      <c r="A24" s="296"/>
      <c r="B24" s="313"/>
      <c r="C24" s="308"/>
      <c r="D24" s="9"/>
      <c r="E24" s="9"/>
    </row>
    <row r="25" spans="1:5" ht="15.75">
      <c r="A25" s="296"/>
      <c r="B25" s="313"/>
      <c r="C25" s="308"/>
      <c r="D25" s="9"/>
      <c r="E25" s="9"/>
    </row>
    <row r="26" spans="1:5" ht="15.75">
      <c r="A26" s="314" t="s">
        <v>26</v>
      </c>
      <c r="B26" s="312"/>
      <c r="C26" s="308"/>
      <c r="D26" s="308"/>
      <c r="E26" s="308"/>
    </row>
    <row r="27" spans="1:5" ht="15.75">
      <c r="A27" s="314" t="s">
        <v>27</v>
      </c>
      <c r="B27" s="312"/>
      <c r="C27" s="348">
        <f>IF(C28*0.1&lt;C26,"Exceed 10% Rule","")</f>
      </c>
      <c r="D27" s="348">
        <f>IF(D28*0.1&lt;D26,"Exceed 10% Rule","")</f>
      </c>
      <c r="E27" s="348">
        <f>IF(E28*0.1&lt;E26,"Exceed 10% Rule","")</f>
      </c>
    </row>
    <row r="28" spans="1:5" ht="15.75">
      <c r="A28" s="153" t="s">
        <v>172</v>
      </c>
      <c r="B28" s="312"/>
      <c r="C28" s="309">
        <f>SUM(C18:C26)</f>
        <v>0</v>
      </c>
      <c r="D28" s="263">
        <f>SUM(D18:D26)</f>
        <v>0</v>
      </c>
      <c r="E28" s="263">
        <f>SUM(E18:E26)</f>
        <v>0</v>
      </c>
    </row>
    <row r="29" spans="1:5" ht="15.75">
      <c r="A29" s="37" t="s">
        <v>290</v>
      </c>
      <c r="B29" s="312"/>
      <c r="C29" s="310">
        <f>C16-C28</f>
        <v>0</v>
      </c>
      <c r="D29" s="262">
        <f>D16-D28</f>
        <v>0</v>
      </c>
      <c r="E29" s="262">
        <f>E16-E28</f>
        <v>0</v>
      </c>
    </row>
    <row r="30" spans="1:5" ht="15.75">
      <c r="A30" s="23" t="str">
        <f>CONCATENATE("",E1-2,"/",E1-1," Budget Authority Amount:")</f>
        <v>2008/2009 Budget Authority Amount:</v>
      </c>
      <c r="B30" s="331"/>
      <c r="C30" s="331">
        <f>inputOth!B79</f>
        <v>163675</v>
      </c>
      <c r="D30" s="331">
        <f>inputPrYr!D40</f>
        <v>163675</v>
      </c>
      <c r="E30" s="395">
        <f>IF(E29&lt;0,"Budget Violation","")</f>
      </c>
    </row>
    <row r="31" spans="1:5" ht="15.75">
      <c r="A31" s="23" t="str">
        <f>CONCATENATE("Violation of Budget Law for ",E1-2,"/",E1-1,":")</f>
        <v>Violation of Budget Law for 2008/2009:</v>
      </c>
      <c r="B31" s="332"/>
      <c r="C31" s="332" t="str">
        <f>IF(C28&gt;C30,"Yes","No")</f>
        <v>No</v>
      </c>
      <c r="D31" s="332" t="str">
        <f>IF(D28&gt;D30,"Yes","No")</f>
        <v>No</v>
      </c>
      <c r="E31" s="65"/>
    </row>
    <row r="32" spans="1:5" ht="15.75">
      <c r="A32" s="23" t="str">
        <f>CONCATENATE("Possible Cash Violation for ",E1-2,":")</f>
        <v>Possible Cash Violation for 2008:</v>
      </c>
      <c r="B32" s="332"/>
      <c r="C32" s="332" t="str">
        <f>IF(C29&lt;0,"Yes","No")</f>
        <v>No</v>
      </c>
      <c r="D32" s="332"/>
      <c r="E32" s="65"/>
    </row>
    <row r="33" spans="1:5" ht="15.75">
      <c r="A33" s="21"/>
      <c r="B33" s="21"/>
      <c r="C33" s="65"/>
      <c r="D33" s="65"/>
      <c r="E33" s="65"/>
    </row>
    <row r="34" spans="1:5" ht="15.75">
      <c r="A34" s="25" t="s">
        <v>156</v>
      </c>
      <c r="B34" s="25"/>
      <c r="C34" s="102"/>
      <c r="D34" s="102"/>
      <c r="E34" s="102"/>
    </row>
    <row r="35" spans="1:5" ht="15.75">
      <c r="A35" s="21"/>
      <c r="B35" s="21"/>
      <c r="C35" s="93" t="s">
        <v>180</v>
      </c>
      <c r="D35" s="33" t="s">
        <v>317</v>
      </c>
      <c r="E35" s="33" t="s">
        <v>318</v>
      </c>
    </row>
    <row r="36" spans="1:5" ht="15.75">
      <c r="A36" s="138">
        <f>inputPrYr!B41</f>
        <v>0</v>
      </c>
      <c r="B36" s="138"/>
      <c r="C36" s="147">
        <f>C5</f>
        <v>2008</v>
      </c>
      <c r="D36" s="147">
        <f>D5</f>
        <v>2009</v>
      </c>
      <c r="E36" s="147">
        <f>E5</f>
        <v>2010</v>
      </c>
    </row>
    <row r="37" spans="1:5" ht="15.75">
      <c r="A37" s="306" t="s">
        <v>289</v>
      </c>
      <c r="B37" s="312"/>
      <c r="C37" s="308"/>
      <c r="D37" s="85">
        <f>C60</f>
        <v>0</v>
      </c>
      <c r="E37" s="85">
        <f>D60</f>
        <v>0</v>
      </c>
    </row>
    <row r="38" spans="1:5" ht="15.75">
      <c r="A38" s="311" t="s">
        <v>291</v>
      </c>
      <c r="B38" s="312"/>
      <c r="C38" s="300"/>
      <c r="D38" s="40"/>
      <c r="E38" s="40"/>
    </row>
    <row r="39" spans="1:5" ht="15.75">
      <c r="A39" s="296"/>
      <c r="B39" s="313"/>
      <c r="C39" s="308"/>
      <c r="D39" s="9"/>
      <c r="E39" s="9"/>
    </row>
    <row r="40" spans="1:5" ht="15.75">
      <c r="A40" s="296"/>
      <c r="B40" s="313"/>
      <c r="C40" s="308"/>
      <c r="D40" s="9"/>
      <c r="E40" s="9"/>
    </row>
    <row r="41" spans="1:5" ht="15.75">
      <c r="A41" s="296"/>
      <c r="B41" s="313"/>
      <c r="C41" s="308"/>
      <c r="D41" s="9"/>
      <c r="E41" s="9"/>
    </row>
    <row r="42" spans="1:5" ht="15.75">
      <c r="A42" s="296"/>
      <c r="B42" s="313"/>
      <c r="C42" s="308"/>
      <c r="D42" s="9"/>
      <c r="E42" s="9"/>
    </row>
    <row r="43" spans="1:5" ht="15.75">
      <c r="A43" s="307" t="s">
        <v>164</v>
      </c>
      <c r="B43" s="313"/>
      <c r="C43" s="308"/>
      <c r="D43" s="9"/>
      <c r="E43" s="9"/>
    </row>
    <row r="44" spans="1:5" ht="15.75">
      <c r="A44" s="316" t="s">
        <v>26</v>
      </c>
      <c r="B44" s="312"/>
      <c r="C44" s="308"/>
      <c r="D44" s="308"/>
      <c r="E44" s="308"/>
    </row>
    <row r="45" spans="1:5" ht="15.75">
      <c r="A45" s="306" t="s">
        <v>28</v>
      </c>
      <c r="B45" s="312"/>
      <c r="C45" s="348">
        <f>IF(C46*0.1&lt;C44,"Exceed 10% Rule","")</f>
      </c>
      <c r="D45" s="348">
        <f>IF(D46*0.1&lt;D44,"Exceed 10% Rule","")</f>
      </c>
      <c r="E45" s="348">
        <f>IF(E46*0.1&lt;E44,"Exceed 10% Rule","")</f>
      </c>
    </row>
    <row r="46" spans="1:5" ht="15.75">
      <c r="A46" s="153" t="s">
        <v>165</v>
      </c>
      <c r="B46" s="312"/>
      <c r="C46" s="309">
        <f>SUM(C39:C44)</f>
        <v>0</v>
      </c>
      <c r="D46" s="263">
        <f>SUM(D39:D44)</f>
        <v>0</v>
      </c>
      <c r="E46" s="263">
        <f>SUM(E39:E44)</f>
        <v>0</v>
      </c>
    </row>
    <row r="47" spans="1:5" ht="15.75">
      <c r="A47" s="153" t="s">
        <v>166</v>
      </c>
      <c r="B47" s="312"/>
      <c r="C47" s="309">
        <f>C37+C46</f>
        <v>0</v>
      </c>
      <c r="D47" s="263">
        <f>D37+D46</f>
        <v>0</v>
      </c>
      <c r="E47" s="263">
        <f>E37+E46</f>
        <v>0</v>
      </c>
    </row>
    <row r="48" spans="1:5" ht="15.75">
      <c r="A48" s="37" t="s">
        <v>168</v>
      </c>
      <c r="B48" s="312"/>
      <c r="C48" s="119"/>
      <c r="D48" s="85"/>
      <c r="E48" s="85"/>
    </row>
    <row r="49" spans="1:5" ht="15.75">
      <c r="A49" s="296"/>
      <c r="B49" s="313"/>
      <c r="C49" s="308"/>
      <c r="D49" s="9"/>
      <c r="E49" s="9"/>
    </row>
    <row r="50" spans="1:5" ht="15.75">
      <c r="A50" s="296"/>
      <c r="B50" s="313"/>
      <c r="C50" s="308"/>
      <c r="D50" s="9"/>
      <c r="E50" s="9"/>
    </row>
    <row r="51" spans="1:5" ht="15.75">
      <c r="A51" s="296"/>
      <c r="B51" s="313"/>
      <c r="C51" s="308"/>
      <c r="D51" s="9"/>
      <c r="E51" s="9"/>
    </row>
    <row r="52" spans="1:5" ht="15.75">
      <c r="A52" s="296"/>
      <c r="B52" s="313"/>
      <c r="C52" s="308"/>
      <c r="D52" s="9"/>
      <c r="E52" s="9"/>
    </row>
    <row r="53" spans="1:5" ht="15.75">
      <c r="A53" s="296"/>
      <c r="B53" s="313"/>
      <c r="C53" s="308"/>
      <c r="D53" s="9"/>
      <c r="E53" s="9"/>
    </row>
    <row r="54" spans="1:5" ht="15.75">
      <c r="A54" s="296"/>
      <c r="B54" s="313"/>
      <c r="C54" s="308"/>
      <c r="D54" s="9"/>
      <c r="E54" s="9"/>
    </row>
    <row r="55" spans="1:5" ht="15.75">
      <c r="A55" s="296"/>
      <c r="B55" s="313"/>
      <c r="C55" s="308"/>
      <c r="D55" s="9"/>
      <c r="E55" s="9"/>
    </row>
    <row r="56" spans="1:5" ht="15.75">
      <c r="A56" s="296"/>
      <c r="B56" s="313"/>
      <c r="C56" s="308"/>
      <c r="D56" s="9"/>
      <c r="E56" s="9"/>
    </row>
    <row r="57" spans="1:5" ht="15.75">
      <c r="A57" s="314" t="s">
        <v>26</v>
      </c>
      <c r="B57" s="312"/>
      <c r="C57" s="308"/>
      <c r="D57" s="308"/>
      <c r="E57" s="308"/>
    </row>
    <row r="58" spans="1:5" ht="15.75">
      <c r="A58" s="314" t="s">
        <v>27</v>
      </c>
      <c r="B58" s="312"/>
      <c r="C58" s="348">
        <f>IF(C59*0.1&lt;C57,"Exceed 10% Rule","")</f>
      </c>
      <c r="D58" s="348">
        <f>IF(D59*0.1&lt;D57,"Exceed 10% Rule","")</f>
      </c>
      <c r="E58" s="348">
        <f>IF(E59*0.1&lt;E57,"Exceed 10% Rule","")</f>
      </c>
    </row>
    <row r="59" spans="1:5" ht="15.75">
      <c r="A59" s="153" t="s">
        <v>172</v>
      </c>
      <c r="B59" s="312"/>
      <c r="C59" s="309">
        <f>SUM(C49:C57)</f>
        <v>0</v>
      </c>
      <c r="D59" s="263">
        <f>SUM(D49:D57)</f>
        <v>0</v>
      </c>
      <c r="E59" s="263">
        <f>SUM(E49:E57)</f>
        <v>0</v>
      </c>
    </row>
    <row r="60" spans="1:5" ht="15.75">
      <c r="A60" s="37" t="s">
        <v>290</v>
      </c>
      <c r="B60" s="312"/>
      <c r="C60" s="310">
        <f>C47-C59</f>
        <v>0</v>
      </c>
      <c r="D60" s="262">
        <f>D47-D59</f>
        <v>0</v>
      </c>
      <c r="E60" s="262">
        <f>E47-E59</f>
        <v>0</v>
      </c>
    </row>
    <row r="61" spans="1:5" ht="15.75">
      <c r="A61" s="23" t="str">
        <f>CONCATENATE("",E1-2,"/",E1-1," Budget Authority Amount:")</f>
        <v>2008/2009 Budget Authority Amount:</v>
      </c>
      <c r="B61" s="331"/>
      <c r="C61" s="331">
        <f>inputOth!B80</f>
        <v>0</v>
      </c>
      <c r="D61" s="331">
        <f>inputPrYr!D41</f>
        <v>0</v>
      </c>
      <c r="E61" s="394">
        <f>IF(E60&lt;0,"Budget Violation","")</f>
      </c>
    </row>
    <row r="62" spans="1:5" ht="15.75">
      <c r="A62" s="23" t="str">
        <f>CONCATENATE("Violation of Budget Law for ",E1-2,"/",E1-1,":")</f>
        <v>Violation of Budget Law for 2008/2009:</v>
      </c>
      <c r="B62" s="332"/>
      <c r="C62" s="332" t="str">
        <f>IF(C59&gt;C61,"Yes","No")</f>
        <v>No</v>
      </c>
      <c r="D62" s="332" t="str">
        <f>IF(D59&gt;D61,"Yes","No")</f>
        <v>No</v>
      </c>
      <c r="E62" s="21"/>
    </row>
    <row r="63" spans="1:5" ht="15.75">
      <c r="A63" s="23" t="str">
        <f>CONCATENATE("Possible Cash Violation for ",E1-2,":")</f>
        <v>Possible Cash Violation for 2008:</v>
      </c>
      <c r="B63" s="332"/>
      <c r="C63" s="332" t="str">
        <f>IF(C60&lt;0,"Yes","No")</f>
        <v>No</v>
      </c>
      <c r="D63" s="332"/>
      <c r="E63" s="21"/>
    </row>
    <row r="64" spans="1:5" ht="15.75">
      <c r="A64" s="21"/>
      <c r="B64" s="21"/>
      <c r="C64" s="21"/>
      <c r="D64" s="21"/>
      <c r="E64" s="21"/>
    </row>
    <row r="65" spans="1:5" ht="15.75">
      <c r="A65" s="24"/>
      <c r="B65" s="24" t="s">
        <v>175</v>
      </c>
      <c r="C65" s="100">
        <v>15</v>
      </c>
      <c r="D65" s="21"/>
      <c r="E65" s="21"/>
    </row>
  </sheetData>
  <sheetProtection sheet="1" objects="1" scenarios="1"/>
  <conditionalFormatting sqref="C13">
    <cfRule type="cellIs" priority="1" dxfId="245" operator="greaterThan" stopIfTrue="1">
      <formula>$C$15*0.1</formula>
    </cfRule>
  </conditionalFormatting>
  <conditionalFormatting sqref="D13">
    <cfRule type="cellIs" priority="2" dxfId="245" operator="greaterThan" stopIfTrue="1">
      <formula>$D$15*0.1</formula>
    </cfRule>
  </conditionalFormatting>
  <conditionalFormatting sqref="E13">
    <cfRule type="cellIs" priority="3" dxfId="245" operator="greaterThan" stopIfTrue="1">
      <formula>$E$15*0.1</formula>
    </cfRule>
  </conditionalFormatting>
  <conditionalFormatting sqref="C26">
    <cfRule type="cellIs" priority="4" dxfId="245" operator="greaterThan" stopIfTrue="1">
      <formula>$C$28*0.1</formula>
    </cfRule>
  </conditionalFormatting>
  <conditionalFormatting sqref="D26">
    <cfRule type="cellIs" priority="5" dxfId="245" operator="greaterThan" stopIfTrue="1">
      <formula>$D$28*0.1</formula>
    </cfRule>
  </conditionalFormatting>
  <conditionalFormatting sqref="E26">
    <cfRule type="cellIs" priority="6" dxfId="245" operator="greaterThan" stopIfTrue="1">
      <formula>$E$28*0.1</formula>
    </cfRule>
  </conditionalFormatting>
  <conditionalFormatting sqref="C44">
    <cfRule type="cellIs" priority="7" dxfId="245" operator="greaterThan" stopIfTrue="1">
      <formula>$C$46*0.1</formula>
    </cfRule>
  </conditionalFormatting>
  <conditionalFormatting sqref="D44">
    <cfRule type="cellIs" priority="8" dxfId="245" operator="greaterThan" stopIfTrue="1">
      <formula>$D$46*0.1</formula>
    </cfRule>
  </conditionalFormatting>
  <conditionalFormatting sqref="E44">
    <cfRule type="cellIs" priority="9" dxfId="245" operator="greaterThan" stopIfTrue="1">
      <formula>$E$46*0.1</formula>
    </cfRule>
  </conditionalFormatting>
  <conditionalFormatting sqref="C57">
    <cfRule type="cellIs" priority="10" dxfId="245" operator="greaterThan" stopIfTrue="1">
      <formula>$C$59*0.1</formula>
    </cfRule>
  </conditionalFormatting>
  <conditionalFormatting sqref="D57">
    <cfRule type="cellIs" priority="11" dxfId="245" operator="greaterThan" stopIfTrue="1">
      <formula>$D$59*0.1</formula>
    </cfRule>
  </conditionalFormatting>
  <conditionalFormatting sqref="E57">
    <cfRule type="cellIs" priority="12" dxfId="245" operator="greaterThan" stopIfTrue="1">
      <formula>$E$59*0.1</formula>
    </cfRule>
  </conditionalFormatting>
  <conditionalFormatting sqref="D59">
    <cfRule type="cellIs" priority="13" dxfId="0" operator="greaterThan" stopIfTrue="1">
      <formula>$D$61</formula>
    </cfRule>
  </conditionalFormatting>
  <conditionalFormatting sqref="C59">
    <cfRule type="cellIs" priority="14" dxfId="0" operator="greaterThan" stopIfTrue="1">
      <formula>$C$61</formula>
    </cfRule>
  </conditionalFormatting>
  <conditionalFormatting sqref="C60 E60 C29 E29">
    <cfRule type="cellIs" priority="15" dxfId="0" operator="lessThan" stopIfTrue="1">
      <formula>0</formula>
    </cfRule>
  </conditionalFormatting>
  <conditionalFormatting sqref="D28:D29">
    <cfRule type="cellIs" priority="16" dxfId="0" operator="greaterThan" stopIfTrue="1">
      <formula>$D$30</formula>
    </cfRule>
  </conditionalFormatting>
  <conditionalFormatting sqref="C28">
    <cfRule type="cellIs" priority="17" dxfId="0" operator="greaterThan" stopIfTrue="1">
      <formula>$C$30</formula>
    </cfRule>
  </conditionalFormatting>
  <printOptions/>
  <pageMargins left="0.5" right="0.5" top="1" bottom="0.5" header="0.5" footer="0.5"/>
  <pageSetup blackAndWhite="1" fitToHeight="1" fitToWidth="1" horizontalDpi="120" verticalDpi="120" orientation="portrait" scale="67" r:id="rId1"/>
  <headerFooter alignWithMargins="0">
    <oddHeader>&amp;RState of Kansas
City</oddHeader>
    <oddFooter>&amp;Lrevised 8/21/08</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E58"/>
  <sheetViews>
    <sheetView zoomScale="84" zoomScaleNormal="84" zoomScalePageLayoutView="0" workbookViewId="0" topLeftCell="A40">
      <selection activeCell="C53" sqref="C53"/>
    </sheetView>
  </sheetViews>
  <sheetFormatPr defaultColWidth="8.796875" defaultRowHeight="15"/>
  <cols>
    <col min="1" max="1" width="27.796875" style="0" customWidth="1"/>
    <col min="2" max="2" width="9.59765625" style="0" customWidth="1"/>
    <col min="3" max="3" width="15.796875" style="0" customWidth="1"/>
    <col min="4" max="4" width="15.796875" style="362" customWidth="1"/>
    <col min="5" max="5" width="16.296875" style="0" customWidth="1"/>
  </cols>
  <sheetData>
    <row r="1" spans="1:5" ht="15.75">
      <c r="A1" s="72" t="str">
        <f>(inputPrYr!D2)</f>
        <v>CITY OF PARK CITY</v>
      </c>
      <c r="B1" s="72"/>
      <c r="C1" s="21"/>
      <c r="D1" s="380"/>
      <c r="E1" s="144">
        <f>inputPrYr!$C$5</f>
        <v>2010</v>
      </c>
    </row>
    <row r="2" spans="1:5" ht="15.75">
      <c r="A2" s="21"/>
      <c r="B2" s="21"/>
      <c r="C2" s="21"/>
      <c r="D2" s="380"/>
      <c r="E2" s="24"/>
    </row>
    <row r="3" spans="1:5" ht="15.75">
      <c r="A3" s="90" t="s">
        <v>234</v>
      </c>
      <c r="B3" s="90"/>
      <c r="C3" s="196"/>
      <c r="D3" s="381"/>
      <c r="E3" s="197"/>
    </row>
    <row r="4" spans="1:5" ht="15.75">
      <c r="A4" s="25" t="s">
        <v>156</v>
      </c>
      <c r="B4" s="25"/>
      <c r="C4" s="370" t="s">
        <v>180</v>
      </c>
      <c r="D4" s="371" t="s">
        <v>317</v>
      </c>
      <c r="E4" s="33" t="s">
        <v>318</v>
      </c>
    </row>
    <row r="5" spans="1:5" ht="15.75">
      <c r="A5" s="138" t="str">
        <f>(inputPrYr!B45)</f>
        <v>Sewer Utility</v>
      </c>
      <c r="B5" s="138"/>
      <c r="C5" s="199">
        <f>E1-2</f>
        <v>2008</v>
      </c>
      <c r="D5" s="199">
        <f>E1-1</f>
        <v>2009</v>
      </c>
      <c r="E5" s="148">
        <f>inputPrYr!$C$5</f>
        <v>2010</v>
      </c>
    </row>
    <row r="6" spans="1:5" ht="15.75">
      <c r="A6" s="37" t="s">
        <v>289</v>
      </c>
      <c r="B6" s="304"/>
      <c r="C6" s="372">
        <v>198163</v>
      </c>
      <c r="D6" s="373">
        <f>C53</f>
        <v>58581.6799999997</v>
      </c>
      <c r="E6" s="85">
        <f>D53</f>
        <v>41295.6799999997</v>
      </c>
    </row>
    <row r="7" spans="1:5" ht="15.75">
      <c r="A7" s="303" t="s">
        <v>291</v>
      </c>
      <c r="B7" s="304"/>
      <c r="C7" s="374"/>
      <c r="D7" s="374"/>
      <c r="E7" s="40"/>
    </row>
    <row r="8" spans="1:5" ht="15.75">
      <c r="A8" s="296" t="s">
        <v>597</v>
      </c>
      <c r="B8" s="305"/>
      <c r="C8" s="372">
        <v>985419</v>
      </c>
      <c r="D8" s="372">
        <v>1000000</v>
      </c>
      <c r="E8" s="13">
        <v>980000</v>
      </c>
    </row>
    <row r="9" spans="1:5" ht="15.75">
      <c r="A9" s="296" t="s">
        <v>598</v>
      </c>
      <c r="B9" s="305"/>
      <c r="C9" s="372">
        <v>2070</v>
      </c>
      <c r="D9" s="372">
        <v>2000</v>
      </c>
      <c r="E9" s="13">
        <v>2000</v>
      </c>
    </row>
    <row r="10" spans="1:5" ht="15.75">
      <c r="A10" s="296" t="s">
        <v>709</v>
      </c>
      <c r="B10" s="305"/>
      <c r="C10" s="372">
        <v>0</v>
      </c>
      <c r="D10" s="372">
        <v>1000</v>
      </c>
      <c r="E10" s="13">
        <v>2000</v>
      </c>
    </row>
    <row r="11" spans="1:5" ht="15.75">
      <c r="A11" s="296" t="s">
        <v>599</v>
      </c>
      <c r="B11" s="305"/>
      <c r="C11" s="372">
        <v>10000</v>
      </c>
      <c r="D11" s="372">
        <v>200000</v>
      </c>
      <c r="E11" s="13">
        <f>200000+148000</f>
        <v>348000</v>
      </c>
    </row>
    <row r="12" spans="1:5" ht="15.75">
      <c r="A12" s="298" t="s">
        <v>164</v>
      </c>
      <c r="B12" s="305"/>
      <c r="C12" s="372">
        <v>45421.09</v>
      </c>
      <c r="D12" s="372">
        <v>20000</v>
      </c>
      <c r="E12" s="13">
        <v>4000</v>
      </c>
    </row>
    <row r="13" spans="1:5" ht="15.75">
      <c r="A13" s="321" t="s">
        <v>794</v>
      </c>
      <c r="B13" s="305"/>
      <c r="C13" s="372">
        <v>-107967</v>
      </c>
      <c r="D13" s="372"/>
      <c r="E13" s="13"/>
    </row>
    <row r="14" spans="1:5" ht="15.75">
      <c r="A14" s="316" t="s">
        <v>26</v>
      </c>
      <c r="B14" s="312"/>
      <c r="C14" s="372">
        <v>14768</v>
      </c>
      <c r="D14" s="372"/>
      <c r="E14" s="13">
        <v>0</v>
      </c>
    </row>
    <row r="15" spans="1:5" ht="15.75">
      <c r="A15" s="306" t="s">
        <v>28</v>
      </c>
      <c r="B15" s="312"/>
      <c r="C15" s="376">
        <f>IF(C16*0.1&lt;C14,"Exceed 10% Rule","")</f>
      </c>
      <c r="D15" s="376">
        <f>IF(D16*0.1&lt;D14,"Exceed 10% Rule","")</f>
      </c>
      <c r="E15" s="348">
        <f>IF(E16*0.1&lt;E14,"Exceed 10% Rule","")</f>
      </c>
    </row>
    <row r="16" spans="1:5" ht="15.75">
      <c r="A16" s="153" t="s">
        <v>165</v>
      </c>
      <c r="B16" s="304"/>
      <c r="C16" s="377">
        <f>SUM(C8:C14)</f>
        <v>949711.09</v>
      </c>
      <c r="D16" s="377">
        <f>SUM(D8:D14)</f>
        <v>1223000</v>
      </c>
      <c r="E16" s="260">
        <f>SUM(E8:E14)</f>
        <v>1336000</v>
      </c>
    </row>
    <row r="17" spans="1:5" ht="15.75">
      <c r="A17" s="153" t="s">
        <v>166</v>
      </c>
      <c r="B17" s="304"/>
      <c r="C17" s="378">
        <f>C6+C16</f>
        <v>1147874.0899999999</v>
      </c>
      <c r="D17" s="378">
        <f>D6+D16</f>
        <v>1281581.6799999997</v>
      </c>
      <c r="E17" s="263">
        <f>E6+E16</f>
        <v>1377295.6799999997</v>
      </c>
    </row>
    <row r="18" spans="1:5" ht="15.75">
      <c r="A18" s="37" t="s">
        <v>168</v>
      </c>
      <c r="B18" s="304"/>
      <c r="C18" s="374"/>
      <c r="D18" s="374"/>
      <c r="E18" s="40"/>
    </row>
    <row r="19" spans="1:5" ht="15.75">
      <c r="A19" s="296" t="s">
        <v>348</v>
      </c>
      <c r="B19" s="305"/>
      <c r="C19" s="372">
        <v>100505.09</v>
      </c>
      <c r="D19" s="372">
        <v>72383</v>
      </c>
      <c r="E19" s="13">
        <f>109719+5000</f>
        <v>114719</v>
      </c>
    </row>
    <row r="20" spans="1:5" ht="15.75">
      <c r="A20" s="296" t="s">
        <v>586</v>
      </c>
      <c r="B20" s="305"/>
      <c r="C20" s="372">
        <f>5072.26+1188.21</f>
        <v>6260.47</v>
      </c>
      <c r="D20" s="372">
        <v>5537</v>
      </c>
      <c r="E20" s="13">
        <f>E19*0.0765</f>
        <v>8776.0035</v>
      </c>
    </row>
    <row r="21" spans="1:5" ht="15.75">
      <c r="A21" s="296" t="s">
        <v>581</v>
      </c>
      <c r="B21" s="305"/>
      <c r="C21" s="372">
        <v>20777</v>
      </c>
      <c r="D21" s="372">
        <v>27707</v>
      </c>
      <c r="E21" s="18">
        <v>31475</v>
      </c>
    </row>
    <row r="22" spans="1:5" ht="15.75">
      <c r="A22" s="296" t="s">
        <v>582</v>
      </c>
      <c r="B22" s="305"/>
      <c r="C22" s="372">
        <v>4863.9</v>
      </c>
      <c r="D22" s="372">
        <v>4292</v>
      </c>
      <c r="E22" s="18">
        <v>8191</v>
      </c>
    </row>
    <row r="23" spans="1:5" ht="15.75">
      <c r="A23" s="296" t="s">
        <v>600</v>
      </c>
      <c r="B23" s="305"/>
      <c r="C23" s="372">
        <f>256+1441+120</f>
        <v>1817</v>
      </c>
      <c r="D23" s="372">
        <f>827+2000+200</f>
        <v>3027</v>
      </c>
      <c r="E23" s="18">
        <f>115+2000+200</f>
        <v>2315</v>
      </c>
    </row>
    <row r="24" spans="1:5" ht="15.75">
      <c r="A24" s="296" t="s">
        <v>601</v>
      </c>
      <c r="B24" s="305"/>
      <c r="C24" s="372">
        <v>2524.95</v>
      </c>
      <c r="D24" s="372">
        <v>2000</v>
      </c>
      <c r="E24" s="18">
        <v>2500</v>
      </c>
    </row>
    <row r="25" spans="1:5" ht="15.75">
      <c r="A25" s="296" t="s">
        <v>593</v>
      </c>
      <c r="B25" s="305"/>
      <c r="C25" s="372">
        <v>20676.53</v>
      </c>
      <c r="D25" s="372">
        <v>30000</v>
      </c>
      <c r="E25" s="18">
        <v>30000</v>
      </c>
    </row>
    <row r="26" spans="1:5" ht="15.75">
      <c r="A26" s="296" t="s">
        <v>602</v>
      </c>
      <c r="B26" s="305"/>
      <c r="C26" s="372">
        <v>267448</v>
      </c>
      <c r="D26" s="372">
        <v>278259</v>
      </c>
      <c r="E26" s="18">
        <v>350000</v>
      </c>
    </row>
    <row r="27" spans="1:5" ht="15.75">
      <c r="A27" s="296" t="s">
        <v>603</v>
      </c>
      <c r="B27" s="305"/>
      <c r="C27" s="372">
        <v>0</v>
      </c>
      <c r="D27" s="372">
        <v>1000</v>
      </c>
      <c r="E27" s="18">
        <v>1000</v>
      </c>
    </row>
    <row r="28" spans="1:5" ht="15.75">
      <c r="A28" s="296" t="s">
        <v>604</v>
      </c>
      <c r="B28" s="305"/>
      <c r="C28" s="372">
        <v>1000</v>
      </c>
      <c r="D28" s="372">
        <v>1000</v>
      </c>
      <c r="E28" s="18">
        <v>1000</v>
      </c>
    </row>
    <row r="29" spans="1:5" ht="15.75">
      <c r="A29" s="296" t="s">
        <v>595</v>
      </c>
      <c r="B29" s="305"/>
      <c r="C29" s="372">
        <v>52220</v>
      </c>
      <c r="D29" s="372">
        <v>0</v>
      </c>
      <c r="E29" s="18">
        <v>12000</v>
      </c>
    </row>
    <row r="30" spans="1:5" ht="15.75">
      <c r="A30" s="296" t="s">
        <v>594</v>
      </c>
      <c r="B30" s="305"/>
      <c r="C30" s="372">
        <v>0</v>
      </c>
      <c r="D30" s="372">
        <v>5000</v>
      </c>
      <c r="E30" s="18">
        <v>5000</v>
      </c>
    </row>
    <row r="31" spans="1:5" ht="15.75">
      <c r="A31" s="296" t="s">
        <v>605</v>
      </c>
      <c r="B31" s="305"/>
      <c r="C31" s="372">
        <v>3704.97</v>
      </c>
      <c r="D31" s="372">
        <v>4900</v>
      </c>
      <c r="E31" s="18">
        <v>4900</v>
      </c>
    </row>
    <row r="32" spans="1:5" ht="15.75">
      <c r="A32" s="296" t="s">
        <v>606</v>
      </c>
      <c r="B32" s="305"/>
      <c r="C32" s="372">
        <v>209</v>
      </c>
      <c r="D32" s="372">
        <v>500</v>
      </c>
      <c r="E32" s="13">
        <v>0</v>
      </c>
    </row>
    <row r="33" spans="1:5" ht="15.75">
      <c r="A33" s="296" t="s">
        <v>607</v>
      </c>
      <c r="B33" s="305"/>
      <c r="C33" s="372">
        <v>18033</v>
      </c>
      <c r="D33" s="372">
        <v>20000</v>
      </c>
      <c r="E33" s="13">
        <v>20000</v>
      </c>
    </row>
    <row r="34" spans="1:5" ht="15.75">
      <c r="A34" s="296" t="s">
        <v>608</v>
      </c>
      <c r="B34" s="305"/>
      <c r="C34" s="372">
        <f>3548+860+293</f>
        <v>4701</v>
      </c>
      <c r="D34" s="372">
        <f>3000+1500+600</f>
        <v>5100</v>
      </c>
      <c r="E34" s="13">
        <f>3000+1500+600</f>
        <v>5100</v>
      </c>
    </row>
    <row r="35" spans="1:5" ht="15.75">
      <c r="A35" s="296" t="s">
        <v>609</v>
      </c>
      <c r="B35" s="305"/>
      <c r="C35" s="372">
        <v>6142</v>
      </c>
      <c r="D35" s="372">
        <v>6500</v>
      </c>
      <c r="E35" s="13">
        <v>6460</v>
      </c>
    </row>
    <row r="36" spans="1:5" ht="15.75">
      <c r="A36" s="296" t="s">
        <v>610</v>
      </c>
      <c r="B36" s="305"/>
      <c r="C36" s="372">
        <v>11354</v>
      </c>
      <c r="D36" s="372">
        <v>15000</v>
      </c>
      <c r="E36" s="13">
        <v>15000</v>
      </c>
    </row>
    <row r="37" spans="1:5" ht="15.75">
      <c r="A37" s="296" t="s">
        <v>611</v>
      </c>
      <c r="B37" s="305"/>
      <c r="C37" s="372">
        <v>3251.83</v>
      </c>
      <c r="D37" s="372">
        <v>2000</v>
      </c>
      <c r="E37" s="13">
        <v>3000</v>
      </c>
    </row>
    <row r="38" spans="1:5" ht="15.75">
      <c r="A38" s="296" t="s">
        <v>612</v>
      </c>
      <c r="B38" s="305"/>
      <c r="C38" s="372">
        <f>6234+347</f>
        <v>6581</v>
      </c>
      <c r="D38" s="372">
        <f>6946+1200</f>
        <v>8146</v>
      </c>
      <c r="E38" s="13">
        <f>6946+1200</f>
        <v>8146</v>
      </c>
    </row>
    <row r="39" spans="1:5" ht="15.75">
      <c r="A39" s="296" t="s">
        <v>613</v>
      </c>
      <c r="B39" s="305"/>
      <c r="C39" s="372">
        <v>0</v>
      </c>
      <c r="D39" s="372">
        <v>6500</v>
      </c>
      <c r="E39" s="13">
        <v>6500</v>
      </c>
    </row>
    <row r="40" spans="1:5" ht="15.75">
      <c r="A40" s="296" t="s">
        <v>614</v>
      </c>
      <c r="B40" s="305"/>
      <c r="C40" s="372">
        <v>0</v>
      </c>
      <c r="D40" s="372">
        <v>1500</v>
      </c>
      <c r="E40" s="13">
        <v>1500</v>
      </c>
    </row>
    <row r="41" spans="1:5" ht="15.75">
      <c r="A41" s="296" t="s">
        <v>615</v>
      </c>
      <c r="B41" s="305"/>
      <c r="C41" s="372">
        <v>255594.67</v>
      </c>
      <c r="D41" s="372">
        <v>311386</v>
      </c>
      <c r="E41" s="13">
        <v>311918</v>
      </c>
    </row>
    <row r="42" spans="1:5" ht="15.75">
      <c r="A42" s="296" t="s">
        <v>616</v>
      </c>
      <c r="B42" s="305"/>
      <c r="C42" s="372">
        <v>38948</v>
      </c>
      <c r="D42" s="372">
        <v>6000</v>
      </c>
      <c r="E42" s="13">
        <v>3000</v>
      </c>
    </row>
    <row r="43" spans="1:5" ht="15.75">
      <c r="A43" s="296" t="s">
        <v>617</v>
      </c>
      <c r="B43" s="305"/>
      <c r="C43" s="372">
        <v>22156</v>
      </c>
      <c r="D43" s="372">
        <v>24232</v>
      </c>
      <c r="E43" s="13">
        <v>25730</v>
      </c>
    </row>
    <row r="44" spans="1:5" ht="15.75">
      <c r="A44" s="296" t="s">
        <v>710</v>
      </c>
      <c r="B44" s="305"/>
      <c r="C44" s="372">
        <v>0</v>
      </c>
      <c r="D44" s="372">
        <v>0</v>
      </c>
      <c r="E44" s="13">
        <v>0</v>
      </c>
    </row>
    <row r="45" spans="1:5" ht="15.75">
      <c r="A45" s="296" t="s">
        <v>618</v>
      </c>
      <c r="B45" s="305"/>
      <c r="C45" s="372">
        <v>5000</v>
      </c>
      <c r="D45" s="372">
        <v>4000</v>
      </c>
      <c r="E45" s="13">
        <v>5000</v>
      </c>
    </row>
    <row r="46" spans="1:5" ht="15.75">
      <c r="A46" s="296" t="s">
        <v>620</v>
      </c>
      <c r="B46" s="305"/>
      <c r="C46" s="372">
        <v>9000</v>
      </c>
      <c r="D46" s="372">
        <v>10000</v>
      </c>
      <c r="E46" s="13">
        <v>4500</v>
      </c>
    </row>
    <row r="47" spans="1:5" ht="15.75">
      <c r="A47" s="296" t="s">
        <v>619</v>
      </c>
      <c r="B47" s="305"/>
      <c r="C47" s="372">
        <v>42946</v>
      </c>
      <c r="D47" s="372">
        <v>200000</v>
      </c>
      <c r="E47" s="13">
        <v>200000</v>
      </c>
    </row>
    <row r="48" spans="1:5" ht="15.75">
      <c r="A48" s="296" t="s">
        <v>621</v>
      </c>
      <c r="B48" s="305"/>
      <c r="C48" s="372">
        <f>124033+59240</f>
        <v>183273</v>
      </c>
      <c r="D48" s="372">
        <v>178317</v>
      </c>
      <c r="E48" s="13">
        <v>169786</v>
      </c>
    </row>
    <row r="49" spans="1:5" ht="15.75">
      <c r="A49" s="296" t="s">
        <v>622</v>
      </c>
      <c r="B49" s="305"/>
      <c r="C49" s="372">
        <v>0</v>
      </c>
      <c r="D49" s="372">
        <v>5000</v>
      </c>
      <c r="E49" s="13">
        <v>5000</v>
      </c>
    </row>
    <row r="50" spans="1:5" ht="15.75">
      <c r="A50" s="314" t="s">
        <v>26</v>
      </c>
      <c r="B50" s="312"/>
      <c r="C50" s="372">
        <v>305</v>
      </c>
      <c r="D50" s="372">
        <v>1000</v>
      </c>
      <c r="E50" s="13">
        <v>1000</v>
      </c>
    </row>
    <row r="51" spans="1:5" ht="15.75">
      <c r="A51" s="314" t="s">
        <v>27</v>
      </c>
      <c r="B51" s="312"/>
      <c r="C51" s="376">
        <f>IF(C52*0.1&lt;C50,"Exceed 10% Rule","")</f>
      </c>
      <c r="D51" s="376">
        <f>IF(D52*0.1&lt;D50,"Exceed 10% Rule","")</f>
      </c>
      <c r="E51" s="382">
        <f>IF(E52*0.1&lt;E50,"Exceed 10% Rule","")</f>
      </c>
    </row>
    <row r="52" spans="1:5" ht="15.75">
      <c r="A52" s="153" t="s">
        <v>172</v>
      </c>
      <c r="B52" s="304"/>
      <c r="C52" s="377">
        <f>SUM(C19:C50)</f>
        <v>1089292.4100000001</v>
      </c>
      <c r="D52" s="377">
        <f>SUM(D19:D50)</f>
        <v>1240286</v>
      </c>
      <c r="E52" s="260">
        <f>SUM(E19:E50)</f>
        <v>1363516.0035</v>
      </c>
    </row>
    <row r="53" spans="1:5" ht="15.75">
      <c r="A53" s="37" t="s">
        <v>290</v>
      </c>
      <c r="B53" s="304"/>
      <c r="C53" s="375">
        <f>C17-C52</f>
        <v>58581.6799999997</v>
      </c>
      <c r="D53" s="375">
        <f>D17-D52</f>
        <v>41295.6799999997</v>
      </c>
      <c r="E53" s="262">
        <f>E17-E52</f>
        <v>13779.676499999594</v>
      </c>
    </row>
    <row r="54" spans="1:5" ht="15.75">
      <c r="A54" s="23" t="str">
        <f>CONCATENATE("",E1-2," Budget Authority Limited Amount:")</f>
        <v>2008 Budget Authority Limited Amount:</v>
      </c>
      <c r="B54" s="331"/>
      <c r="C54" s="331">
        <f>inputOth!B83</f>
        <v>1252786</v>
      </c>
      <c r="D54" s="331">
        <f>inputPrYr!D45</f>
        <v>1252786</v>
      </c>
      <c r="E54" s="418"/>
    </row>
    <row r="55" spans="1:5" ht="15.75">
      <c r="A55" s="23" t="str">
        <f>CONCATENATE("Violation of Budget Law for ",E1-2,":")</f>
        <v>Violation of Budget Law for 2008:</v>
      </c>
      <c r="B55" s="332"/>
      <c r="C55" s="332" t="str">
        <f>IF(C52&gt;C54,"Yes","No")</f>
        <v>No</v>
      </c>
      <c r="D55" s="332" t="str">
        <f>IF(D52&gt;D54,"Yes","No")</f>
        <v>No</v>
      </c>
      <c r="E55" s="417"/>
    </row>
    <row r="56" spans="1:5" ht="15.75">
      <c r="A56" s="23" t="str">
        <f>CONCATENATE("Possible Cash Violation for ",E1-2,":")</f>
        <v>Possible Cash Violation for 2008:</v>
      </c>
      <c r="B56" s="332"/>
      <c r="C56" s="332" t="str">
        <f>IF(C53&lt;0,"Yes","No")</f>
        <v>No</v>
      </c>
      <c r="D56" s="332"/>
      <c r="E56" s="417"/>
    </row>
    <row r="57" spans="1:5" ht="15">
      <c r="A57" s="170"/>
      <c r="B57" s="170"/>
      <c r="C57" s="170"/>
      <c r="D57" s="379"/>
      <c r="E57" s="417"/>
    </row>
    <row r="58" spans="1:5" ht="15.75">
      <c r="A58" s="24"/>
      <c r="B58" s="24" t="s">
        <v>175</v>
      </c>
      <c r="C58" s="100">
        <v>16</v>
      </c>
      <c r="D58" s="379"/>
      <c r="E58" s="170"/>
    </row>
  </sheetData>
  <sheetProtection/>
  <conditionalFormatting sqref="E14">
    <cfRule type="cellIs" priority="1" dxfId="245" operator="greaterThan" stopIfTrue="1">
      <formula>$E$16*0.1</formula>
    </cfRule>
  </conditionalFormatting>
  <conditionalFormatting sqref="E50">
    <cfRule type="cellIs" priority="2" dxfId="245" operator="greaterThan" stopIfTrue="1">
      <formula>$E$52*0.1</formula>
    </cfRule>
  </conditionalFormatting>
  <conditionalFormatting sqref="C50">
    <cfRule type="cellIs" priority="3" dxfId="0" operator="greaterThan" stopIfTrue="1">
      <formula>$C$52*0.1</formula>
    </cfRule>
  </conditionalFormatting>
  <conditionalFormatting sqref="D50">
    <cfRule type="cellIs" priority="4" dxfId="0" operator="greaterThan" stopIfTrue="1">
      <formula>$D$52*0.1</formula>
    </cfRule>
  </conditionalFormatting>
  <conditionalFormatting sqref="D52">
    <cfRule type="cellIs" priority="5" dxfId="0" operator="greaterThan" stopIfTrue="1">
      <formula>$D$54</formula>
    </cfRule>
  </conditionalFormatting>
  <conditionalFormatting sqref="C52">
    <cfRule type="cellIs" priority="6" dxfId="0" operator="greaterThan" stopIfTrue="1">
      <formula>$C$54</formula>
    </cfRule>
  </conditionalFormatting>
  <conditionalFormatting sqref="C53 E53">
    <cfRule type="cellIs" priority="7" dxfId="0" operator="lessThan" stopIfTrue="1">
      <formula>0</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City</oddHeader>
    <oddFooter>&amp;Lrevised 8/21/08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118"/>
  <sheetViews>
    <sheetView zoomScalePageLayoutView="0" workbookViewId="0" topLeftCell="A22">
      <selection activeCell="A24" sqref="A24"/>
    </sheetView>
  </sheetViews>
  <sheetFormatPr defaultColWidth="8.796875" defaultRowHeight="15"/>
  <cols>
    <col min="1" max="1" width="15.796875" style="7" customWidth="1"/>
    <col min="2" max="2" width="20.796875" style="7" customWidth="1"/>
    <col min="3" max="3" width="9.796875" style="7" customWidth="1"/>
    <col min="4" max="4" width="15.09765625" style="7" customWidth="1"/>
    <col min="5" max="5" width="15.796875" style="7" customWidth="1"/>
    <col min="6" max="16384" width="8.8984375" style="7" customWidth="1"/>
  </cols>
  <sheetData>
    <row r="1" spans="1:5" ht="15.75">
      <c r="A1" s="425" t="s">
        <v>122</v>
      </c>
      <c r="B1" s="426"/>
      <c r="C1" s="426"/>
      <c r="D1" s="426"/>
      <c r="E1" s="426"/>
    </row>
    <row r="2" spans="1:5" ht="15.75">
      <c r="A2" s="22" t="s">
        <v>39</v>
      </c>
      <c r="B2" s="21"/>
      <c r="C2" s="21"/>
      <c r="D2" s="254" t="s">
        <v>689</v>
      </c>
      <c r="E2" s="255"/>
    </row>
    <row r="3" spans="1:5" ht="15.75">
      <c r="A3" s="22" t="s">
        <v>40</v>
      </c>
      <c r="B3" s="21"/>
      <c r="C3" s="21"/>
      <c r="D3" s="256" t="s">
        <v>690</v>
      </c>
      <c r="E3" s="257"/>
    </row>
    <row r="4" spans="1:5" ht="15.75">
      <c r="A4" s="25"/>
      <c r="B4" s="21"/>
      <c r="C4" s="21"/>
      <c r="D4" s="184"/>
      <c r="E4" s="21"/>
    </row>
    <row r="5" spans="1:5" ht="15.75">
      <c r="A5" s="22" t="s">
        <v>340</v>
      </c>
      <c r="B5" s="21"/>
      <c r="C5" s="253">
        <v>2010</v>
      </c>
      <c r="D5" s="184"/>
      <c r="E5" s="21"/>
    </row>
    <row r="6" spans="1:5" ht="15.75">
      <c r="A6" s="21"/>
      <c r="B6" s="21"/>
      <c r="C6" s="21"/>
      <c r="D6" s="21"/>
      <c r="E6" s="21"/>
    </row>
    <row r="7" spans="1:5" ht="31.5">
      <c r="A7" s="110" t="s">
        <v>6</v>
      </c>
      <c r="B7" s="116"/>
      <c r="C7" s="116"/>
      <c r="D7" s="116"/>
      <c r="E7" s="116"/>
    </row>
    <row r="8" spans="1:5" ht="15.75">
      <c r="A8" s="110" t="s">
        <v>5</v>
      </c>
      <c r="B8" s="116"/>
      <c r="C8" s="116"/>
      <c r="D8" s="116"/>
      <c r="E8" s="116"/>
    </row>
    <row r="9" spans="1:5" ht="15.75">
      <c r="A9" s="110"/>
      <c r="B9" s="116"/>
      <c r="C9" s="116"/>
      <c r="D9" s="116"/>
      <c r="E9" s="116"/>
    </row>
    <row r="10" spans="1:5" ht="15.75">
      <c r="A10" s="423" t="s">
        <v>410</v>
      </c>
      <c r="B10" s="424"/>
      <c r="C10" s="424"/>
      <c r="D10" s="424"/>
      <c r="E10" s="424"/>
    </row>
    <row r="11" spans="1:5" ht="15.75">
      <c r="A11" s="21"/>
      <c r="B11" s="21"/>
      <c r="C11" s="21"/>
      <c r="D11" s="21"/>
      <c r="E11" s="21"/>
    </row>
    <row r="12" spans="1:5" ht="15.75">
      <c r="A12" s="185" t="s">
        <v>411</v>
      </c>
      <c r="B12" s="126"/>
      <c r="C12" s="21"/>
      <c r="D12" s="21"/>
      <c r="E12" s="21"/>
    </row>
    <row r="13" spans="1:5" ht="15.75">
      <c r="A13" s="123" t="str">
        <f>CONCATENATE("the ",C5-1," Budget, Certificate Page:")</f>
        <v>the 2009 Budget, Certificate Page:</v>
      </c>
      <c r="B13" s="124"/>
      <c r="C13" s="21"/>
      <c r="D13" s="21"/>
      <c r="E13" s="21"/>
    </row>
    <row r="14" spans="1:5" ht="15.75">
      <c r="A14" s="21"/>
      <c r="B14" s="21"/>
      <c r="C14" s="21"/>
      <c r="D14" s="366">
        <f>C5-1</f>
        <v>2009</v>
      </c>
      <c r="E14" s="366">
        <f>C5-2</f>
        <v>2008</v>
      </c>
    </row>
    <row r="15" spans="1:5" ht="15.75">
      <c r="A15" s="25" t="s">
        <v>123</v>
      </c>
      <c r="B15" s="21"/>
      <c r="C15" s="368" t="s">
        <v>124</v>
      </c>
      <c r="D15" s="240" t="s">
        <v>185</v>
      </c>
      <c r="E15" s="240" t="s">
        <v>105</v>
      </c>
    </row>
    <row r="16" spans="1:5" ht="15.75">
      <c r="A16" s="21"/>
      <c r="B16" s="44" t="s">
        <v>125</v>
      </c>
      <c r="C16" s="42" t="s">
        <v>293</v>
      </c>
      <c r="D16" s="367">
        <v>3394809</v>
      </c>
      <c r="E16" s="367">
        <v>850434</v>
      </c>
    </row>
    <row r="17" spans="1:5" ht="15.75">
      <c r="A17" s="21"/>
      <c r="B17" s="44" t="s">
        <v>75</v>
      </c>
      <c r="C17" s="42" t="s">
        <v>341</v>
      </c>
      <c r="D17" s="9">
        <v>2446562</v>
      </c>
      <c r="E17" s="9">
        <v>144300</v>
      </c>
    </row>
    <row r="18" spans="1:5" ht="15.75">
      <c r="A18" s="25" t="s">
        <v>126</v>
      </c>
      <c r="B18" s="21"/>
      <c r="C18" s="21"/>
      <c r="D18" s="21"/>
      <c r="E18" s="170"/>
    </row>
    <row r="19" spans="1:5" ht="15.75">
      <c r="A19" s="21"/>
      <c r="B19" s="8" t="s">
        <v>757</v>
      </c>
      <c r="C19" s="8" t="s">
        <v>437</v>
      </c>
      <c r="D19" s="9">
        <v>7970</v>
      </c>
      <c r="E19" s="9">
        <v>6725</v>
      </c>
    </row>
    <row r="20" spans="1:5" ht="15.75">
      <c r="A20" s="21"/>
      <c r="B20" s="8" t="s">
        <v>438</v>
      </c>
      <c r="C20" s="8" t="s">
        <v>439</v>
      </c>
      <c r="D20" s="9">
        <v>1039251</v>
      </c>
      <c r="E20" s="9">
        <v>786485</v>
      </c>
    </row>
    <row r="21" spans="1:5" ht="15.75">
      <c r="A21" s="21"/>
      <c r="B21" s="8" t="s">
        <v>440</v>
      </c>
      <c r="C21" s="8" t="s">
        <v>441</v>
      </c>
      <c r="D21" s="9">
        <v>215022</v>
      </c>
      <c r="E21" s="9">
        <v>157971</v>
      </c>
    </row>
    <row r="22" spans="1:5" ht="15.75">
      <c r="A22" s="21"/>
      <c r="B22" s="8" t="s">
        <v>442</v>
      </c>
      <c r="C22" s="8" t="s">
        <v>439</v>
      </c>
      <c r="D22" s="9">
        <v>41612</v>
      </c>
      <c r="E22" s="9">
        <v>25198</v>
      </c>
    </row>
    <row r="23" spans="1:5" ht="15.75">
      <c r="A23" s="21"/>
      <c r="B23" s="8"/>
      <c r="C23" s="8"/>
      <c r="D23" s="9"/>
      <c r="E23" s="9"/>
    </row>
    <row r="24" spans="1:5" ht="15.75">
      <c r="A24" s="21"/>
      <c r="B24" s="8"/>
      <c r="C24" s="8"/>
      <c r="D24" s="9"/>
      <c r="E24" s="9"/>
    </row>
    <row r="25" spans="1:5" ht="15.75">
      <c r="A25" s="21"/>
      <c r="B25" s="8"/>
      <c r="C25" s="8"/>
      <c r="D25" s="9"/>
      <c r="E25" s="9"/>
    </row>
    <row r="26" spans="1:5" ht="15.75">
      <c r="A26" s="21"/>
      <c r="B26" s="8"/>
      <c r="C26" s="8"/>
      <c r="D26" s="9"/>
      <c r="E26" s="9"/>
    </row>
    <row r="27" spans="1:5" ht="15.75">
      <c r="A27" s="21"/>
      <c r="B27" s="8"/>
      <c r="C27" s="8"/>
      <c r="D27" s="9"/>
      <c r="E27" s="9"/>
    </row>
    <row r="28" spans="1:5" ht="15.75">
      <c r="A28" s="21"/>
      <c r="B28" s="8"/>
      <c r="C28" s="8"/>
      <c r="D28" s="9"/>
      <c r="E28" s="9"/>
    </row>
    <row r="29" spans="1:5" ht="15.75">
      <c r="A29" s="111" t="str">
        <f>CONCATENATE("Total Tax Levy Funds for ",C5-1," Budgeted Year")</f>
        <v>Total Tax Levy Funds for 2009 Budgeted Year</v>
      </c>
      <c r="B29" s="20"/>
      <c r="C29" s="115"/>
      <c r="D29" s="300"/>
      <c r="E29" s="364">
        <f>SUM(E16:E28)</f>
        <v>1971113</v>
      </c>
    </row>
    <row r="30" spans="1:5" ht="15.75">
      <c r="A30" s="130"/>
      <c r="B30" s="106"/>
      <c r="C30" s="106"/>
      <c r="D30" s="138"/>
      <c r="E30" s="170"/>
    </row>
    <row r="31" spans="1:5" ht="15.75">
      <c r="A31" s="25" t="s">
        <v>346</v>
      </c>
      <c r="B31" s="21"/>
      <c r="C31" s="21"/>
      <c r="D31" s="21"/>
      <c r="E31" s="21"/>
    </row>
    <row r="32" spans="1:5" ht="15.75">
      <c r="A32" s="21"/>
      <c r="B32" s="42" t="s">
        <v>268</v>
      </c>
      <c r="C32" s="21"/>
      <c r="D32" s="9">
        <v>428620</v>
      </c>
      <c r="E32" s="21"/>
    </row>
    <row r="33" spans="1:5" ht="15.75">
      <c r="A33" s="21"/>
      <c r="B33" s="8" t="s">
        <v>443</v>
      </c>
      <c r="C33" s="21"/>
      <c r="D33" s="9">
        <v>356000</v>
      </c>
      <c r="E33" s="21"/>
    </row>
    <row r="34" spans="1:5" ht="15.75">
      <c r="A34" s="21"/>
      <c r="B34" s="8" t="s">
        <v>444</v>
      </c>
      <c r="C34" s="21"/>
      <c r="D34" s="9">
        <v>18000</v>
      </c>
      <c r="E34" s="21"/>
    </row>
    <row r="35" spans="1:5" ht="15.75">
      <c r="A35" s="21"/>
      <c r="B35" s="8" t="s">
        <v>445</v>
      </c>
      <c r="C35" s="21"/>
      <c r="D35" s="9">
        <v>15378</v>
      </c>
      <c r="E35" s="21"/>
    </row>
    <row r="36" spans="1:5" ht="15.75">
      <c r="A36" s="21"/>
      <c r="B36" s="8" t="s">
        <v>446</v>
      </c>
      <c r="C36" s="21"/>
      <c r="D36" s="9">
        <v>42000</v>
      </c>
      <c r="E36" s="21"/>
    </row>
    <row r="37" spans="1:5" ht="15.75">
      <c r="A37" s="21"/>
      <c r="B37" s="8" t="s">
        <v>447</v>
      </c>
      <c r="C37" s="21"/>
      <c r="D37" s="9">
        <v>489500</v>
      </c>
      <c r="E37" s="21"/>
    </row>
    <row r="38" spans="1:5" ht="15.75">
      <c r="A38" s="21"/>
      <c r="B38" s="8" t="s">
        <v>448</v>
      </c>
      <c r="C38" s="21"/>
      <c r="D38" s="9">
        <v>185000</v>
      </c>
      <c r="E38" s="21"/>
    </row>
    <row r="39" spans="1:5" ht="15.75">
      <c r="A39" s="21"/>
      <c r="B39" s="8" t="s">
        <v>449</v>
      </c>
      <c r="C39" s="21"/>
      <c r="D39" s="9">
        <v>340000</v>
      </c>
      <c r="E39" s="21"/>
    </row>
    <row r="40" spans="1:5" ht="15.75">
      <c r="A40" s="21"/>
      <c r="B40" s="8" t="s">
        <v>760</v>
      </c>
      <c r="C40" s="21"/>
      <c r="D40" s="9">
        <v>163675</v>
      </c>
      <c r="E40" s="21"/>
    </row>
    <row r="41" spans="1:5" ht="15.75">
      <c r="A41" s="21"/>
      <c r="B41" s="8"/>
      <c r="C41" s="21"/>
      <c r="D41" s="9"/>
      <c r="E41" s="21"/>
    </row>
    <row r="42" spans="1:5" ht="15.75">
      <c r="A42" s="21"/>
      <c r="B42" s="10"/>
      <c r="C42" s="21"/>
      <c r="D42" s="9"/>
      <c r="E42" s="21"/>
    </row>
    <row r="43" spans="1:5" ht="15.75">
      <c r="A43" s="21"/>
      <c r="B43" s="10"/>
      <c r="C43" s="21"/>
      <c r="D43" s="9"/>
      <c r="E43" s="21"/>
    </row>
    <row r="44" spans="1:5" ht="15.75">
      <c r="A44" s="21" t="s">
        <v>380</v>
      </c>
      <c r="B44" s="191"/>
      <c r="C44" s="21"/>
      <c r="D44" s="21"/>
      <c r="E44" s="21"/>
    </row>
    <row r="45" spans="1:5" ht="15.75">
      <c r="A45" s="21">
        <v>1</v>
      </c>
      <c r="B45" s="10" t="s">
        <v>450</v>
      </c>
      <c r="C45" s="21"/>
      <c r="D45" s="9">
        <v>1252786</v>
      </c>
      <c r="E45" s="21"/>
    </row>
    <row r="46" spans="1:5" ht="15.75">
      <c r="A46" s="21">
        <v>2</v>
      </c>
      <c r="B46" s="10" t="s">
        <v>451</v>
      </c>
      <c r="C46" s="21"/>
      <c r="D46" s="9">
        <v>1432025</v>
      </c>
      <c r="E46" s="21"/>
    </row>
    <row r="47" spans="1:5" ht="15.75">
      <c r="A47" s="21">
        <v>3</v>
      </c>
      <c r="B47" s="10" t="s">
        <v>452</v>
      </c>
      <c r="C47" s="21"/>
      <c r="D47" s="9">
        <v>42140</v>
      </c>
      <c r="E47" s="21"/>
    </row>
    <row r="48" spans="1:5" ht="15.75">
      <c r="A48" s="21">
        <v>4</v>
      </c>
      <c r="B48" s="10"/>
      <c r="C48" s="21"/>
      <c r="D48" s="9"/>
      <c r="E48" s="21"/>
    </row>
    <row r="49" spans="1:5" ht="15.75">
      <c r="A49" s="111" t="str">
        <f>CONCATENATE("Total Expenditures for ",C5-1," Budgeted Year")</f>
        <v>Total Expenditures for 2009 Budgeted Year</v>
      </c>
      <c r="B49" s="369"/>
      <c r="C49" s="117"/>
      <c r="D49" s="262">
        <f>SUM(D16:D17,D19:D28,D32:D43,D45:D48)</f>
        <v>11910350</v>
      </c>
      <c r="E49" s="21"/>
    </row>
    <row r="50" spans="1:5" ht="15.75">
      <c r="A50" s="21" t="s">
        <v>381</v>
      </c>
      <c r="B50" s="365"/>
      <c r="C50" s="21"/>
      <c r="D50" s="21"/>
      <c r="E50" s="21"/>
    </row>
    <row r="51" spans="1:5" ht="15.75">
      <c r="A51" s="21">
        <v>1</v>
      </c>
      <c r="B51" s="10" t="s">
        <v>453</v>
      </c>
      <c r="C51" s="21"/>
      <c r="D51" s="21"/>
      <c r="E51" s="21"/>
    </row>
    <row r="52" spans="1:5" ht="15.75">
      <c r="A52" s="21">
        <v>2</v>
      </c>
      <c r="B52" s="10" t="s">
        <v>455</v>
      </c>
      <c r="C52" s="21"/>
      <c r="D52" s="21"/>
      <c r="E52" s="21"/>
    </row>
    <row r="53" spans="1:5" ht="15.75">
      <c r="A53" s="21">
        <v>3</v>
      </c>
      <c r="B53" s="10" t="s">
        <v>456</v>
      </c>
      <c r="C53" s="21"/>
      <c r="D53" s="21"/>
      <c r="E53" s="21"/>
    </row>
    <row r="54" spans="1:5" ht="15.75">
      <c r="A54" s="21">
        <v>4</v>
      </c>
      <c r="B54" s="10" t="s">
        <v>457</v>
      </c>
      <c r="C54" s="21"/>
      <c r="D54" s="21"/>
      <c r="E54" s="21"/>
    </row>
    <row r="55" spans="1:5" ht="15.75">
      <c r="A55" s="21">
        <v>5</v>
      </c>
      <c r="B55" s="10" t="s">
        <v>458</v>
      </c>
      <c r="C55" s="21"/>
      <c r="D55" s="21"/>
      <c r="E55" s="21"/>
    </row>
    <row r="56" spans="1:5" ht="15.75">
      <c r="A56" s="21" t="s">
        <v>382</v>
      </c>
      <c r="B56" s="191"/>
      <c r="C56" s="21"/>
      <c r="D56" s="21"/>
      <c r="E56" s="21"/>
    </row>
    <row r="57" spans="1:5" ht="15.75">
      <c r="A57" s="21">
        <v>1</v>
      </c>
      <c r="B57" s="10" t="s">
        <v>459</v>
      </c>
      <c r="C57" s="21"/>
      <c r="D57" s="21"/>
      <c r="E57" s="21"/>
    </row>
    <row r="58" spans="1:5" ht="15.75">
      <c r="A58" s="21">
        <v>2</v>
      </c>
      <c r="B58" s="10" t="s">
        <v>460</v>
      </c>
      <c r="C58" s="21"/>
      <c r="D58" s="21"/>
      <c r="E58" s="21"/>
    </row>
    <row r="59" spans="1:5" ht="15.75">
      <c r="A59" s="21">
        <v>3</v>
      </c>
      <c r="B59" s="10" t="s">
        <v>461</v>
      </c>
      <c r="C59" s="21"/>
      <c r="D59" s="21"/>
      <c r="E59" s="21"/>
    </row>
    <row r="60" spans="1:5" ht="15.75">
      <c r="A60" s="21">
        <v>4</v>
      </c>
      <c r="B60" s="10" t="s">
        <v>462</v>
      </c>
      <c r="C60" s="21"/>
      <c r="D60" s="21"/>
      <c r="E60" s="21"/>
    </row>
    <row r="61" spans="1:5" ht="15.75">
      <c r="A61" s="21">
        <v>5</v>
      </c>
      <c r="B61" s="10" t="s">
        <v>463</v>
      </c>
      <c r="C61" s="21"/>
      <c r="D61" s="21"/>
      <c r="E61" s="21"/>
    </row>
    <row r="62" spans="1:5" ht="15.75">
      <c r="A62" s="21" t="s">
        <v>383</v>
      </c>
      <c r="B62" s="191"/>
      <c r="C62" s="21"/>
      <c r="D62" s="21"/>
      <c r="E62" s="21"/>
    </row>
    <row r="63" spans="1:5" ht="15.75">
      <c r="A63" s="21">
        <v>1</v>
      </c>
      <c r="B63" s="10" t="s">
        <v>464</v>
      </c>
      <c r="C63" s="21"/>
      <c r="D63" s="21"/>
      <c r="E63" s="21"/>
    </row>
    <row r="64" spans="1:5" ht="15.75">
      <c r="A64" s="21">
        <v>2</v>
      </c>
      <c r="B64" s="10" t="s">
        <v>465</v>
      </c>
      <c r="C64" s="21"/>
      <c r="D64" s="21"/>
      <c r="E64" s="21"/>
    </row>
    <row r="65" spans="1:5" ht="15.75">
      <c r="A65" s="21">
        <v>3</v>
      </c>
      <c r="B65" s="10" t="s">
        <v>466</v>
      </c>
      <c r="C65" s="21"/>
      <c r="D65" s="21"/>
      <c r="E65" s="21"/>
    </row>
    <row r="66" spans="1:5" ht="15.75">
      <c r="A66" s="21">
        <v>4</v>
      </c>
      <c r="B66" s="10" t="s">
        <v>467</v>
      </c>
      <c r="C66" s="21"/>
      <c r="D66" s="21"/>
      <c r="E66" s="21"/>
    </row>
    <row r="67" spans="1:5" ht="15.75">
      <c r="A67" s="21">
        <v>5</v>
      </c>
      <c r="B67" s="10" t="s">
        <v>468</v>
      </c>
      <c r="C67" s="21"/>
      <c r="D67" s="21"/>
      <c r="E67" s="21"/>
    </row>
    <row r="68" spans="1:5" ht="15.75">
      <c r="A68" s="21" t="s">
        <v>384</v>
      </c>
      <c r="B68" s="191"/>
      <c r="C68" s="21"/>
      <c r="D68" s="21"/>
      <c r="E68" s="21"/>
    </row>
    <row r="69" spans="1:5" ht="15.75">
      <c r="A69" s="21">
        <v>1</v>
      </c>
      <c r="B69" s="10" t="s">
        <v>749</v>
      </c>
      <c r="C69" s="21"/>
      <c r="D69" s="21"/>
      <c r="E69" s="21"/>
    </row>
    <row r="70" spans="1:5" ht="15.75">
      <c r="A70" s="21">
        <v>2</v>
      </c>
      <c r="B70" s="10" t="s">
        <v>732</v>
      </c>
      <c r="C70" s="21"/>
      <c r="D70" s="21"/>
      <c r="E70" s="21"/>
    </row>
    <row r="71" spans="1:5" ht="15.75">
      <c r="A71" s="21">
        <v>3</v>
      </c>
      <c r="B71" s="10" t="s">
        <v>731</v>
      </c>
      <c r="C71" s="21"/>
      <c r="D71" s="21"/>
      <c r="E71" s="21"/>
    </row>
    <row r="72" spans="1:5" ht="15.75">
      <c r="A72" s="21">
        <v>4</v>
      </c>
      <c r="B72" s="10" t="s">
        <v>750</v>
      </c>
      <c r="C72" s="21"/>
      <c r="D72" s="21"/>
      <c r="E72" s="21"/>
    </row>
    <row r="73" spans="1:5" ht="15.75">
      <c r="A73" s="21">
        <v>5</v>
      </c>
      <c r="B73" s="10" t="s">
        <v>758</v>
      </c>
      <c r="C73" s="21"/>
      <c r="D73" s="21"/>
      <c r="E73" s="21"/>
    </row>
    <row r="74" spans="1:5" ht="15.75">
      <c r="A74" s="130"/>
      <c r="B74" s="106"/>
      <c r="C74" s="106"/>
      <c r="D74" s="106"/>
      <c r="E74" s="171"/>
    </row>
    <row r="75" spans="1:5" ht="15.75">
      <c r="A75" s="21"/>
      <c r="B75" s="21"/>
      <c r="C75" s="21"/>
      <c r="D75" s="21"/>
      <c r="E75" s="21"/>
    </row>
    <row r="76" spans="1:5" ht="15.75">
      <c r="A76" s="21"/>
      <c r="B76" s="21"/>
      <c r="C76" s="21"/>
      <c r="D76" s="397" t="str">
        <f>CONCATENATE("",C5-3," Tax Rate")</f>
        <v>2007 Tax Rate</v>
      </c>
      <c r="E76" s="21"/>
    </row>
    <row r="77" spans="1:5" ht="15.75">
      <c r="A77" s="123" t="str">
        <f>CONCATENATE("From the ",C5-1," Budget, Budget Summary Page")</f>
        <v>From the 2009 Budget, Budget Summary Page</v>
      </c>
      <c r="B77" s="124"/>
      <c r="C77" s="21"/>
      <c r="D77" s="398" t="str">
        <f>CONCATENATE("(",C5-2," Column)")</f>
        <v>(2008 Column)</v>
      </c>
      <c r="E77" s="21"/>
    </row>
    <row r="78" spans="1:5" ht="15.75">
      <c r="A78" s="21"/>
      <c r="B78" s="40" t="str">
        <f>B16</f>
        <v>General</v>
      </c>
      <c r="C78" s="21"/>
      <c r="D78" s="10">
        <v>19.604</v>
      </c>
      <c r="E78" s="21"/>
    </row>
    <row r="79" spans="1:5" ht="15.75">
      <c r="A79" s="21"/>
      <c r="B79" s="40" t="str">
        <f>B17</f>
        <v>Debt Service</v>
      </c>
      <c r="C79" s="21"/>
      <c r="D79" s="10">
        <v>0</v>
      </c>
      <c r="E79" s="21"/>
    </row>
    <row r="80" spans="1:5" ht="15.75">
      <c r="A80" s="21"/>
      <c r="B80" s="40" t="str">
        <f>B19</f>
        <v>Bond &amp; Interest-Ballfield Lgts</v>
      </c>
      <c r="C80" s="21"/>
      <c r="D80" s="10">
        <v>0.121</v>
      </c>
      <c r="E80" s="21"/>
    </row>
    <row r="81" spans="1:5" ht="15.75">
      <c r="A81" s="21"/>
      <c r="B81" s="40" t="str">
        <f aca="true" t="shared" si="0" ref="B81:B89">B20</f>
        <v>Employee Benefit Fund</v>
      </c>
      <c r="C81" s="21"/>
      <c r="D81" s="10">
        <v>14.085</v>
      </c>
      <c r="E81" s="21"/>
    </row>
    <row r="82" spans="1:5" ht="15.75">
      <c r="A82" s="21"/>
      <c r="B82" s="40" t="str">
        <f t="shared" si="0"/>
        <v>Library Fund</v>
      </c>
      <c r="C82" s="21"/>
      <c r="D82" s="10">
        <v>3</v>
      </c>
      <c r="E82" s="21"/>
    </row>
    <row r="83" spans="1:5" ht="15.75">
      <c r="A83" s="21"/>
      <c r="B83" s="40" t="str">
        <f t="shared" si="0"/>
        <v>Library Employee Benefits</v>
      </c>
      <c r="C83" s="21"/>
      <c r="D83" s="10">
        <v>0.335</v>
      </c>
      <c r="E83" s="21"/>
    </row>
    <row r="84" spans="1:5" ht="15.75">
      <c r="A84" s="21"/>
      <c r="B84" s="40">
        <f t="shared" si="0"/>
        <v>0</v>
      </c>
      <c r="C84" s="21"/>
      <c r="D84" s="10"/>
      <c r="E84" s="21"/>
    </row>
    <row r="85" spans="1:5" ht="15.75">
      <c r="A85" s="21"/>
      <c r="B85" s="40">
        <f t="shared" si="0"/>
        <v>0</v>
      </c>
      <c r="C85" s="21"/>
      <c r="D85" s="10"/>
      <c r="E85" s="21"/>
    </row>
    <row r="86" spans="1:5" ht="15.75">
      <c r="A86" s="21"/>
      <c r="B86" s="40">
        <f t="shared" si="0"/>
        <v>0</v>
      </c>
      <c r="C86" s="21"/>
      <c r="D86" s="10"/>
      <c r="E86" s="21"/>
    </row>
    <row r="87" spans="1:5" ht="15.75">
      <c r="A87" s="21"/>
      <c r="B87" s="40">
        <f t="shared" si="0"/>
        <v>0</v>
      </c>
      <c r="C87" s="21"/>
      <c r="D87" s="10"/>
      <c r="E87" s="21"/>
    </row>
    <row r="88" spans="1:5" ht="15.75">
      <c r="A88" s="21"/>
      <c r="B88" s="40">
        <f t="shared" si="0"/>
        <v>0</v>
      </c>
      <c r="C88" s="21"/>
      <c r="D88" s="10"/>
      <c r="E88" s="21"/>
    </row>
    <row r="89" spans="1:5" ht="15.75">
      <c r="A89" s="21"/>
      <c r="B89" s="40">
        <f t="shared" si="0"/>
        <v>0</v>
      </c>
      <c r="C89" s="21"/>
      <c r="D89" s="10"/>
      <c r="E89" s="21"/>
    </row>
    <row r="90" spans="1:5" ht="15.75">
      <c r="A90" s="111" t="s">
        <v>127</v>
      </c>
      <c r="B90" s="20"/>
      <c r="C90" s="117"/>
      <c r="D90" s="259">
        <f>SUM(D78:D89)</f>
        <v>37.145</v>
      </c>
      <c r="E90" s="21"/>
    </row>
    <row r="91" spans="1:5" ht="15.75">
      <c r="A91" s="21"/>
      <c r="B91" s="21"/>
      <c r="C91" s="21"/>
      <c r="D91" s="21"/>
      <c r="E91" s="21"/>
    </row>
    <row r="92" spans="1:5" ht="15.75">
      <c r="A92" s="236" t="str">
        <f>CONCATENATE("Total Tax Levied (",C5-2," budget column)")</f>
        <v>Total Tax Levied (2008 budget column)</v>
      </c>
      <c r="B92" s="237"/>
      <c r="C92" s="20"/>
      <c r="D92" s="117"/>
      <c r="E92" s="9">
        <v>1891448</v>
      </c>
    </row>
    <row r="93" spans="1:5" ht="15.75">
      <c r="A93" s="238" t="str">
        <f>CONCATENATE("Assessed Valuation  (",C5-2," budget column)")</f>
        <v>Assessed Valuation  (2008 budget column)</v>
      </c>
      <c r="B93" s="239"/>
      <c r="C93" s="115"/>
      <c r="D93" s="38"/>
      <c r="E93" s="9">
        <v>50921651</v>
      </c>
    </row>
    <row r="94" spans="1:5" ht="15.75">
      <c r="A94" s="130"/>
      <c r="B94" s="106"/>
      <c r="C94" s="106"/>
      <c r="D94" s="106"/>
      <c r="E94" s="171"/>
    </row>
    <row r="95" spans="1:5" ht="15.75">
      <c r="A95" s="235" t="str">
        <f>CONCATENATE("From the ",C5-1," Budget, Budget Summary Page")</f>
        <v>From the 2009 Budget, Budget Summary Page</v>
      </c>
      <c r="B95" s="285"/>
      <c r="C95" s="21"/>
      <c r="D95" s="186"/>
      <c r="E95" s="65"/>
    </row>
    <row r="96" spans="1:5" ht="15.75">
      <c r="A96" s="126" t="s">
        <v>4</v>
      </c>
      <c r="B96" s="126"/>
      <c r="C96" s="137"/>
      <c r="D96" s="187">
        <f>C5-3</f>
        <v>2007</v>
      </c>
      <c r="E96" s="188">
        <f>C5-2</f>
        <v>2008</v>
      </c>
    </row>
    <row r="97" spans="1:5" ht="15.75">
      <c r="A97" s="286" t="s">
        <v>342</v>
      </c>
      <c r="B97" s="286"/>
      <c r="C97" s="189"/>
      <c r="D97" s="17">
        <v>20415000</v>
      </c>
      <c r="E97" s="17">
        <v>20420000</v>
      </c>
    </row>
    <row r="98" spans="1:5" ht="15.75">
      <c r="A98" s="287" t="s">
        <v>343</v>
      </c>
      <c r="B98" s="287"/>
      <c r="C98" s="190"/>
      <c r="D98" s="17">
        <v>0</v>
      </c>
      <c r="E98" s="17">
        <v>0</v>
      </c>
    </row>
    <row r="99" spans="1:5" ht="15.75">
      <c r="A99" s="287" t="s">
        <v>344</v>
      </c>
      <c r="B99" s="287"/>
      <c r="C99" s="190"/>
      <c r="D99" s="17">
        <v>4400000</v>
      </c>
      <c r="E99" s="17">
        <v>8485380</v>
      </c>
    </row>
    <row r="100" spans="1:5" ht="15.75">
      <c r="A100" s="287" t="s">
        <v>345</v>
      </c>
      <c r="B100" s="287"/>
      <c r="C100" s="190"/>
      <c r="D100" s="17">
        <v>228758</v>
      </c>
      <c r="E100" s="17">
        <v>400223</v>
      </c>
    </row>
    <row r="101" spans="1:5" ht="15.75">
      <c r="A101"/>
      <c r="B101"/>
      <c r="C101"/>
      <c r="D101"/>
      <c r="E101"/>
    </row>
    <row r="102" spans="1:5" ht="15.75">
      <c r="A102"/>
      <c r="B102"/>
      <c r="C102"/>
      <c r="D102"/>
      <c r="E102"/>
    </row>
    <row r="103" spans="1:5" ht="15.75">
      <c r="A103"/>
      <c r="B103"/>
      <c r="C103"/>
      <c r="D103"/>
      <c r="E103"/>
    </row>
    <row r="104" spans="1:5" ht="15.75">
      <c r="A104"/>
      <c r="B104"/>
      <c r="C104"/>
      <c r="D104"/>
      <c r="E104"/>
    </row>
    <row r="105" spans="1:5" ht="15.75">
      <c r="A105"/>
      <c r="B105"/>
      <c r="C105"/>
      <c r="D105"/>
      <c r="E105"/>
    </row>
    <row r="106" spans="1:5" ht="15.75">
      <c r="A106"/>
      <c r="B106"/>
      <c r="C106"/>
      <c r="D106"/>
      <c r="E106"/>
    </row>
    <row r="107" ht="15"/>
    <row r="108" spans="1:5" ht="15.75">
      <c r="A108"/>
      <c r="B108"/>
      <c r="C108"/>
      <c r="D108"/>
      <c r="E108"/>
    </row>
    <row r="109" spans="1:5" ht="15.75">
      <c r="A109"/>
      <c r="B109"/>
      <c r="C109"/>
      <c r="D109"/>
      <c r="E109"/>
    </row>
    <row r="110" spans="1:5" ht="15.75">
      <c r="A110"/>
      <c r="B110"/>
      <c r="C110"/>
      <c r="D110"/>
      <c r="E110"/>
    </row>
    <row r="111" spans="1:5" ht="15.75">
      <c r="A111"/>
      <c r="B111"/>
      <c r="C111"/>
      <c r="D111"/>
      <c r="E111"/>
    </row>
    <row r="112" spans="1:5" ht="15.75">
      <c r="A112"/>
      <c r="B112"/>
      <c r="C112"/>
      <c r="D112"/>
      <c r="E112"/>
    </row>
    <row r="113" spans="1:5" ht="15.75">
      <c r="A113"/>
      <c r="B113"/>
      <c r="C113"/>
      <c r="D113"/>
      <c r="E113"/>
    </row>
    <row r="114" spans="1:5" ht="15.75">
      <c r="A114"/>
      <c r="B114"/>
      <c r="C114"/>
      <c r="D114"/>
      <c r="E114"/>
    </row>
    <row r="115" spans="1:5" ht="15.75">
      <c r="A115"/>
      <c r="B115"/>
      <c r="C115"/>
      <c r="D115"/>
      <c r="E115"/>
    </row>
    <row r="116" spans="1:5" ht="15.75">
      <c r="A116"/>
      <c r="B116"/>
      <c r="C116"/>
      <c r="D116"/>
      <c r="E116"/>
    </row>
    <row r="117" spans="1:5" ht="15.75">
      <c r="A117"/>
      <c r="B117"/>
      <c r="C117"/>
      <c r="D117"/>
      <c r="E117"/>
    </row>
    <row r="118" spans="1:5" ht="15.75">
      <c r="A118"/>
      <c r="B118"/>
      <c r="C118"/>
      <c r="D118"/>
      <c r="E118"/>
    </row>
  </sheetData>
  <sheetProtection sheet="1" objects="1" scenarios="1"/>
  <mergeCells count="2">
    <mergeCell ref="A10:E10"/>
    <mergeCell ref="A1:E1"/>
  </mergeCells>
  <printOptions/>
  <pageMargins left="0.5" right="0.5" top="1" bottom="0.5" header="0.5" footer="0.25"/>
  <pageSetup blackAndWhite="1" fitToHeight="2"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E67"/>
  <sheetViews>
    <sheetView zoomScale="87" zoomScaleNormal="87" zoomScalePageLayoutView="0" workbookViewId="0" topLeftCell="A46">
      <selection activeCell="C62" sqref="C62"/>
    </sheetView>
  </sheetViews>
  <sheetFormatPr defaultColWidth="8.796875" defaultRowHeight="15"/>
  <cols>
    <col min="1" max="1" width="27.59765625" style="0" customWidth="1"/>
    <col min="2" max="2" width="9.59765625" style="0" customWidth="1"/>
    <col min="3" max="4" width="15.796875" style="0" customWidth="1"/>
    <col min="5" max="5" width="16.19921875" style="0" customWidth="1"/>
  </cols>
  <sheetData>
    <row r="1" spans="1:5" ht="15.75">
      <c r="A1" s="72" t="str">
        <f>(inputPrYr!D2)</f>
        <v>CITY OF PARK CITY</v>
      </c>
      <c r="B1" s="72"/>
      <c r="C1" s="21"/>
      <c r="D1" s="21"/>
      <c r="E1" s="144">
        <f>inputPrYr!$C$5</f>
        <v>2010</v>
      </c>
    </row>
    <row r="2" spans="1:5" ht="15.75">
      <c r="A2" s="21"/>
      <c r="B2" s="21"/>
      <c r="C2" s="21"/>
      <c r="D2" s="21"/>
      <c r="E2" s="24"/>
    </row>
    <row r="3" spans="1:5" ht="15.75">
      <c r="A3" s="90" t="s">
        <v>234</v>
      </c>
      <c r="B3" s="90"/>
      <c r="C3" s="196"/>
      <c r="D3" s="196"/>
      <c r="E3" s="197"/>
    </row>
    <row r="4" spans="1:5" ht="15.75">
      <c r="A4" s="25" t="s">
        <v>156</v>
      </c>
      <c r="B4" s="25"/>
      <c r="C4" s="93" t="s">
        <v>180</v>
      </c>
      <c r="D4" s="33" t="s">
        <v>317</v>
      </c>
      <c r="E4" s="33" t="s">
        <v>318</v>
      </c>
    </row>
    <row r="5" spans="1:5" ht="15.75">
      <c r="A5" s="138" t="str">
        <f>(inputPrYr!B46)</f>
        <v>Water Utility</v>
      </c>
      <c r="B5" s="138"/>
      <c r="C5" s="148">
        <f>E1-2</f>
        <v>2008</v>
      </c>
      <c r="D5" s="148">
        <f>E1-1</f>
        <v>2009</v>
      </c>
      <c r="E5" s="148">
        <f>inputPrYr!$C$5</f>
        <v>2010</v>
      </c>
    </row>
    <row r="6" spans="1:5" ht="15.75">
      <c r="A6" s="37" t="s">
        <v>289</v>
      </c>
      <c r="B6" s="304"/>
      <c r="C6" s="308">
        <v>203598</v>
      </c>
      <c r="D6" s="85">
        <f>C62</f>
        <v>38062.28000000026</v>
      </c>
      <c r="E6" s="85">
        <f>D62</f>
        <v>18041.28000000026</v>
      </c>
    </row>
    <row r="7" spans="1:5" ht="15.75">
      <c r="A7" s="303" t="s">
        <v>291</v>
      </c>
      <c r="B7" s="304"/>
      <c r="C7" s="300"/>
      <c r="D7" s="40"/>
      <c r="E7" s="40"/>
    </row>
    <row r="8" spans="1:5" ht="15.75">
      <c r="A8" s="296" t="s">
        <v>623</v>
      </c>
      <c r="B8" s="305"/>
      <c r="C8" s="299">
        <v>1071922</v>
      </c>
      <c r="D8" s="13">
        <v>1055000</v>
      </c>
      <c r="E8" s="13">
        <v>1055000</v>
      </c>
    </row>
    <row r="9" spans="1:5" ht="15.75">
      <c r="A9" s="296" t="s">
        <v>624</v>
      </c>
      <c r="B9" s="305"/>
      <c r="C9" s="299">
        <v>48038</v>
      </c>
      <c r="D9" s="13">
        <v>45000</v>
      </c>
      <c r="E9" s="13">
        <v>45000</v>
      </c>
    </row>
    <row r="10" spans="1:5" ht="15.75">
      <c r="A10" s="296" t="s">
        <v>598</v>
      </c>
      <c r="B10" s="305"/>
      <c r="C10" s="299">
        <v>2100</v>
      </c>
      <c r="D10" s="13">
        <v>3000</v>
      </c>
      <c r="E10" s="13">
        <v>3000</v>
      </c>
    </row>
    <row r="11" spans="1:5" ht="15.75">
      <c r="A11" s="296" t="s">
        <v>625</v>
      </c>
      <c r="B11" s="305"/>
      <c r="C11" s="299">
        <v>22261</v>
      </c>
      <c r="D11" s="13">
        <v>30000</v>
      </c>
      <c r="E11" s="13">
        <v>30000</v>
      </c>
    </row>
    <row r="12" spans="1:5" ht="15.75">
      <c r="A12" s="296" t="s">
        <v>626</v>
      </c>
      <c r="B12" s="305"/>
      <c r="C12" s="299">
        <v>3730</v>
      </c>
      <c r="D12" s="13">
        <f>3500+300</f>
        <v>3800</v>
      </c>
      <c r="E12" s="13">
        <f>3500+300</f>
        <v>3800</v>
      </c>
    </row>
    <row r="13" spans="1:5" ht="15.75">
      <c r="A13" s="296" t="s">
        <v>627</v>
      </c>
      <c r="B13" s="305"/>
      <c r="C13" s="299">
        <f>7325+470+260</f>
        <v>8055</v>
      </c>
      <c r="D13" s="13">
        <f>5300+700+350</f>
        <v>6350</v>
      </c>
      <c r="E13" s="13">
        <f>5300+700+350</f>
        <v>6350</v>
      </c>
    </row>
    <row r="14" spans="1:5" ht="15.75">
      <c r="A14" s="297" t="s">
        <v>628</v>
      </c>
      <c r="B14" s="305"/>
      <c r="C14" s="301">
        <v>26598.07</v>
      </c>
      <c r="D14" s="18">
        <v>35000</v>
      </c>
      <c r="E14" s="18">
        <v>35000</v>
      </c>
    </row>
    <row r="15" spans="1:5" ht="15.75">
      <c r="A15" s="297" t="s">
        <v>711</v>
      </c>
      <c r="B15" s="305"/>
      <c r="C15" s="301">
        <v>6107629</v>
      </c>
      <c r="D15" s="18"/>
      <c r="E15" s="18"/>
    </row>
    <row r="16" spans="1:5" ht="15.75">
      <c r="A16" s="296" t="s">
        <v>629</v>
      </c>
      <c r="B16" s="305"/>
      <c r="C16" s="299">
        <v>0</v>
      </c>
      <c r="D16" s="13">
        <v>200000</v>
      </c>
      <c r="E16" s="13">
        <f>200000+120000</f>
        <v>320000</v>
      </c>
    </row>
    <row r="17" spans="1:5" ht="15.75">
      <c r="A17" s="321" t="s">
        <v>794</v>
      </c>
      <c r="B17" s="305"/>
      <c r="C17" s="299">
        <v>-102991</v>
      </c>
      <c r="D17" s="13"/>
      <c r="E17" s="13"/>
    </row>
    <row r="18" spans="1:5" ht="15.75">
      <c r="A18" s="298" t="s">
        <v>164</v>
      </c>
      <c r="B18" s="305"/>
      <c r="C18" s="299">
        <v>40806</v>
      </c>
      <c r="D18" s="13">
        <v>20000</v>
      </c>
      <c r="E18" s="13">
        <v>20000</v>
      </c>
    </row>
    <row r="19" spans="1:5" ht="15.75">
      <c r="A19" s="316" t="s">
        <v>26</v>
      </c>
      <c r="B19" s="312"/>
      <c r="C19" s="299">
        <v>2166.68</v>
      </c>
      <c r="D19" s="299">
        <v>600</v>
      </c>
      <c r="E19" s="299">
        <v>600</v>
      </c>
    </row>
    <row r="20" spans="1:5" ht="15.75">
      <c r="A20" s="306" t="s">
        <v>28</v>
      </c>
      <c r="B20" s="312"/>
      <c r="C20" s="348">
        <f>IF(C21*0.1&lt;C19,"Exceed 10% Rule","")</f>
      </c>
      <c r="D20" s="348">
        <f>IF(D21*0.1&lt;D19,"Exceed 10% Rule","")</f>
      </c>
      <c r="E20" s="348">
        <f>IF(E21*0.1&lt;E19,"Exceed 10% Rule","")</f>
      </c>
    </row>
    <row r="21" spans="1:5" ht="15.75">
      <c r="A21" s="153" t="s">
        <v>165</v>
      </c>
      <c r="B21" s="304"/>
      <c r="C21" s="302">
        <f>SUM(C8:C19)</f>
        <v>7230314.75</v>
      </c>
      <c r="D21" s="260">
        <f>SUM(D8:D19)</f>
        <v>1398750</v>
      </c>
      <c r="E21" s="260">
        <f>SUM(E8:E19)</f>
        <v>1518750</v>
      </c>
    </row>
    <row r="22" spans="1:5" ht="15.75">
      <c r="A22" s="153" t="s">
        <v>166</v>
      </c>
      <c r="B22" s="304"/>
      <c r="C22" s="309">
        <f>C6+C21</f>
        <v>7433912.75</v>
      </c>
      <c r="D22" s="263">
        <f>D6+D21</f>
        <v>1436812.2800000003</v>
      </c>
      <c r="E22" s="263">
        <f>E6+E21</f>
        <v>1536791.2800000003</v>
      </c>
    </row>
    <row r="23" spans="1:5" ht="15.75">
      <c r="A23" s="37" t="s">
        <v>168</v>
      </c>
      <c r="B23" s="304"/>
      <c r="C23" s="300"/>
      <c r="D23" s="40"/>
      <c r="E23" s="40"/>
    </row>
    <row r="24" spans="1:5" ht="15.75">
      <c r="A24" s="296" t="s">
        <v>348</v>
      </c>
      <c r="B24" s="305"/>
      <c r="C24" s="299">
        <v>196957.19</v>
      </c>
      <c r="D24" s="13">
        <v>178758</v>
      </c>
      <c r="E24" s="13">
        <v>213078</v>
      </c>
    </row>
    <row r="25" spans="1:5" ht="15.75">
      <c r="A25" s="296" t="s">
        <v>580</v>
      </c>
      <c r="B25" s="305"/>
      <c r="C25" s="299">
        <f>11969+2801</f>
        <v>14770</v>
      </c>
      <c r="D25" s="13">
        <v>13675</v>
      </c>
      <c r="E25" s="13">
        <v>16300</v>
      </c>
    </row>
    <row r="26" spans="1:5" ht="15.75">
      <c r="A26" s="296" t="s">
        <v>581</v>
      </c>
      <c r="B26" s="305"/>
      <c r="C26" s="301">
        <v>48151.68</v>
      </c>
      <c r="D26" s="18">
        <v>69267</v>
      </c>
      <c r="E26" s="18">
        <v>78687</v>
      </c>
    </row>
    <row r="27" spans="1:5" ht="15.75">
      <c r="A27" s="296" t="s">
        <v>582</v>
      </c>
      <c r="B27" s="305"/>
      <c r="C27" s="301">
        <v>9540.02</v>
      </c>
      <c r="D27" s="18">
        <v>10600</v>
      </c>
      <c r="E27" s="18">
        <v>15214</v>
      </c>
    </row>
    <row r="28" spans="1:5" ht="15.75">
      <c r="A28" s="296" t="s">
        <v>600</v>
      </c>
      <c r="B28" s="305"/>
      <c r="C28" s="301">
        <f>605+4850+286</f>
        <v>5741</v>
      </c>
      <c r="D28" s="18">
        <f>1913+4950+450</f>
        <v>7313</v>
      </c>
      <c r="E28" s="18">
        <f>213+4950+450</f>
        <v>5613</v>
      </c>
    </row>
    <row r="29" spans="1:5" ht="15.75">
      <c r="A29" s="296" t="s">
        <v>630</v>
      </c>
      <c r="B29" s="305"/>
      <c r="C29" s="301">
        <v>1023</v>
      </c>
      <c r="D29" s="18">
        <v>2500</v>
      </c>
      <c r="E29" s="18">
        <v>2500</v>
      </c>
    </row>
    <row r="30" spans="1:5" ht="15.75">
      <c r="A30" s="296" t="s">
        <v>593</v>
      </c>
      <c r="B30" s="305"/>
      <c r="C30" s="301">
        <v>12481</v>
      </c>
      <c r="D30" s="18">
        <v>25000</v>
      </c>
      <c r="E30" s="18">
        <v>25000</v>
      </c>
    </row>
    <row r="31" spans="1:5" ht="15.75">
      <c r="A31" s="296" t="s">
        <v>631</v>
      </c>
      <c r="B31" s="305"/>
      <c r="C31" s="301">
        <v>192781.78</v>
      </c>
      <c r="D31" s="18">
        <v>233022</v>
      </c>
      <c r="E31" s="18">
        <v>240000</v>
      </c>
    </row>
    <row r="32" spans="1:5" ht="15.75">
      <c r="A32" s="296" t="s">
        <v>603</v>
      </c>
      <c r="B32" s="305"/>
      <c r="C32" s="301">
        <v>0</v>
      </c>
      <c r="D32" s="18">
        <v>1000</v>
      </c>
      <c r="E32" s="18">
        <v>1000</v>
      </c>
    </row>
    <row r="33" spans="1:5" ht="15.75">
      <c r="A33" s="296" t="s">
        <v>632</v>
      </c>
      <c r="B33" s="305"/>
      <c r="C33" s="301">
        <v>0</v>
      </c>
      <c r="D33" s="18">
        <v>2000</v>
      </c>
      <c r="E33" s="18">
        <v>2000</v>
      </c>
    </row>
    <row r="34" spans="1:5" ht="15.75">
      <c r="A34" s="296" t="s">
        <v>604</v>
      </c>
      <c r="B34" s="305"/>
      <c r="C34" s="301">
        <v>1000</v>
      </c>
      <c r="D34" s="18">
        <v>1000</v>
      </c>
      <c r="E34" s="18">
        <v>1000</v>
      </c>
    </row>
    <row r="35" spans="1:5" ht="15.75">
      <c r="A35" s="296" t="s">
        <v>595</v>
      </c>
      <c r="B35" s="305"/>
      <c r="C35" s="301">
        <v>1860.9</v>
      </c>
      <c r="D35" s="18">
        <v>20000</v>
      </c>
      <c r="E35" s="18">
        <f>20000+10000</f>
        <v>30000</v>
      </c>
    </row>
    <row r="36" spans="1:5" ht="15.75">
      <c r="A36" s="296" t="s">
        <v>633</v>
      </c>
      <c r="B36" s="305"/>
      <c r="C36" s="301">
        <v>988.55</v>
      </c>
      <c r="D36" s="18">
        <v>3500</v>
      </c>
      <c r="E36" s="18">
        <v>3500</v>
      </c>
    </row>
    <row r="37" spans="1:5" ht="15.75">
      <c r="A37" s="296" t="s">
        <v>606</v>
      </c>
      <c r="B37" s="305"/>
      <c r="C37" s="299">
        <v>1012.56</v>
      </c>
      <c r="D37" s="13">
        <v>2000</v>
      </c>
      <c r="E37" s="13">
        <v>0</v>
      </c>
    </row>
    <row r="38" spans="1:5" ht="15.75">
      <c r="A38" s="296" t="s">
        <v>607</v>
      </c>
      <c r="B38" s="305"/>
      <c r="C38" s="299">
        <v>10338.45</v>
      </c>
      <c r="D38" s="13">
        <v>12000</v>
      </c>
      <c r="E38" s="13">
        <v>12000</v>
      </c>
    </row>
    <row r="39" spans="1:5" ht="15.75">
      <c r="A39" s="296" t="s">
        <v>608</v>
      </c>
      <c r="B39" s="305"/>
      <c r="C39" s="299">
        <f>49263+12863+632</f>
        <v>62758</v>
      </c>
      <c r="D39" s="13">
        <f>45000+10000+400</f>
        <v>55400</v>
      </c>
      <c r="E39" s="13">
        <f>50000+13000+400</f>
        <v>63400</v>
      </c>
    </row>
    <row r="40" spans="1:5" ht="15.75">
      <c r="A40" s="296" t="s">
        <v>634</v>
      </c>
      <c r="B40" s="305"/>
      <c r="C40" s="299">
        <v>12065.34</v>
      </c>
      <c r="D40" s="13">
        <v>12626</v>
      </c>
      <c r="E40" s="13">
        <v>16289</v>
      </c>
    </row>
    <row r="41" spans="1:5" ht="15.75">
      <c r="A41" s="296" t="s">
        <v>610</v>
      </c>
      <c r="B41" s="305"/>
      <c r="C41" s="299">
        <v>6786.7</v>
      </c>
      <c r="D41" s="13">
        <v>15000</v>
      </c>
      <c r="E41" s="13">
        <v>15000</v>
      </c>
    </row>
    <row r="42" spans="1:5" ht="15.75">
      <c r="A42" s="296" t="s">
        <v>611</v>
      </c>
      <c r="B42" s="305"/>
      <c r="C42" s="299">
        <v>3363.97</v>
      </c>
      <c r="D42" s="13">
        <v>5500</v>
      </c>
      <c r="E42" s="13">
        <v>5500</v>
      </c>
    </row>
    <row r="43" spans="1:5" ht="15.75">
      <c r="A43" s="296" t="s">
        <v>635</v>
      </c>
      <c r="B43" s="305"/>
      <c r="C43" s="299">
        <f>9121+2174</f>
        <v>11295</v>
      </c>
      <c r="D43" s="13">
        <f>10334+2000</f>
        <v>12334</v>
      </c>
      <c r="E43" s="13">
        <f>10334+2000</f>
        <v>12334</v>
      </c>
    </row>
    <row r="44" spans="1:5" ht="15.75">
      <c r="A44" s="296" t="s">
        <v>636</v>
      </c>
      <c r="B44" s="305"/>
      <c r="C44" s="299">
        <v>3977.04</v>
      </c>
      <c r="D44" s="13">
        <v>5500</v>
      </c>
      <c r="E44" s="13">
        <v>5500</v>
      </c>
    </row>
    <row r="45" spans="1:5" ht="15.75">
      <c r="A45" s="296" t="s">
        <v>637</v>
      </c>
      <c r="B45" s="305"/>
      <c r="C45" s="299">
        <v>7029.57</v>
      </c>
      <c r="D45" s="13">
        <v>10000</v>
      </c>
      <c r="E45" s="13">
        <v>10000</v>
      </c>
    </row>
    <row r="46" spans="1:5" ht="15.75">
      <c r="A46" s="296" t="s">
        <v>712</v>
      </c>
      <c r="B46" s="305"/>
      <c r="C46" s="299">
        <v>-1696.98</v>
      </c>
      <c r="D46" s="13"/>
      <c r="E46" s="13">
        <v>0</v>
      </c>
    </row>
    <row r="47" spans="1:5" ht="15.75">
      <c r="A47" s="296" t="s">
        <v>638</v>
      </c>
      <c r="B47" s="305"/>
      <c r="C47" s="299">
        <v>0</v>
      </c>
      <c r="D47" s="13">
        <v>4000</v>
      </c>
      <c r="E47" s="13">
        <v>4000</v>
      </c>
    </row>
    <row r="48" spans="1:5" ht="15.75">
      <c r="A48" s="296" t="s">
        <v>639</v>
      </c>
      <c r="B48" s="305"/>
      <c r="C48" s="299">
        <v>1126</v>
      </c>
      <c r="D48" s="13">
        <v>2000</v>
      </c>
      <c r="E48" s="13">
        <v>2000</v>
      </c>
    </row>
    <row r="49" spans="1:5" ht="15.75">
      <c r="A49" s="296" t="s">
        <v>640</v>
      </c>
      <c r="B49" s="305"/>
      <c r="C49" s="299">
        <v>67774.36</v>
      </c>
      <c r="D49" s="13">
        <v>46200</v>
      </c>
      <c r="E49" s="13">
        <v>68000</v>
      </c>
    </row>
    <row r="50" spans="1:5" ht="15.75">
      <c r="A50" s="296" t="s">
        <v>641</v>
      </c>
      <c r="B50" s="305"/>
      <c r="C50" s="299">
        <v>376261</v>
      </c>
      <c r="D50" s="13">
        <v>402598</v>
      </c>
      <c r="E50" s="13">
        <v>412098</v>
      </c>
    </row>
    <row r="51" spans="1:5" ht="15.75">
      <c r="A51" s="296" t="s">
        <v>642</v>
      </c>
      <c r="B51" s="305"/>
      <c r="C51" s="299">
        <v>37414.75</v>
      </c>
      <c r="D51" s="13">
        <v>6000</v>
      </c>
      <c r="E51" s="13">
        <v>6000</v>
      </c>
    </row>
    <row r="52" spans="1:5" ht="15.75">
      <c r="A52" s="296" t="s">
        <v>352</v>
      </c>
      <c r="B52" s="305"/>
      <c r="C52" s="299">
        <v>1383.41</v>
      </c>
      <c r="D52" s="13">
        <v>2000</v>
      </c>
      <c r="E52" s="13">
        <v>2000</v>
      </c>
    </row>
    <row r="53" spans="1:5" ht="15.75">
      <c r="A53" s="296" t="s">
        <v>643</v>
      </c>
      <c r="B53" s="305"/>
      <c r="C53" s="299">
        <v>22156.09</v>
      </c>
      <c r="D53" s="13">
        <v>23478</v>
      </c>
      <c r="E53" s="13">
        <v>25855</v>
      </c>
    </row>
    <row r="54" spans="1:5" ht="15.75">
      <c r="A54" s="296" t="s">
        <v>644</v>
      </c>
      <c r="B54" s="305"/>
      <c r="C54" s="299">
        <v>5000</v>
      </c>
      <c r="D54" s="13">
        <f>4000+5000</f>
        <v>9000</v>
      </c>
      <c r="E54" s="13">
        <v>4000</v>
      </c>
    </row>
    <row r="55" spans="1:5" ht="15.75">
      <c r="A55" s="296" t="s">
        <v>785</v>
      </c>
      <c r="B55" s="305"/>
      <c r="C55" s="299">
        <v>6107629</v>
      </c>
      <c r="D55" s="13"/>
      <c r="E55" s="13"/>
    </row>
    <row r="56" spans="1:5" ht="15.75">
      <c r="A56" s="296" t="s">
        <v>645</v>
      </c>
      <c r="B56" s="305"/>
      <c r="C56" s="299">
        <v>157393</v>
      </c>
      <c r="D56" s="13">
        <v>200000</v>
      </c>
      <c r="E56" s="13">
        <v>200000</v>
      </c>
    </row>
    <row r="57" spans="1:5" ht="15.75">
      <c r="A57" s="296" t="s">
        <v>646</v>
      </c>
      <c r="B57" s="305"/>
      <c r="C57" s="299">
        <v>12000</v>
      </c>
      <c r="D57" s="13">
        <v>13000</v>
      </c>
      <c r="E57" s="13">
        <v>12000</v>
      </c>
    </row>
    <row r="58" spans="1:5" ht="15.75">
      <c r="A58" s="296" t="s">
        <v>622</v>
      </c>
      <c r="B58" s="305"/>
      <c r="C58" s="299"/>
      <c r="D58" s="13">
        <v>5000</v>
      </c>
      <c r="E58" s="13">
        <v>5000</v>
      </c>
    </row>
    <row r="59" spans="1:5" ht="15.75">
      <c r="A59" s="314" t="s">
        <v>26</v>
      </c>
      <c r="B59" s="312"/>
      <c r="C59" s="299">
        <f>5501.84-13.75</f>
        <v>5488.09</v>
      </c>
      <c r="D59" s="299">
        <v>7500</v>
      </c>
      <c r="E59" s="299">
        <v>7500</v>
      </c>
    </row>
    <row r="60" spans="1:5" ht="15.75">
      <c r="A60" s="314" t="s">
        <v>27</v>
      </c>
      <c r="B60" s="312"/>
      <c r="C60" s="348">
        <f>IF(C61*0.1&lt;C59,"Exceed 10% Rule","")</f>
      </c>
      <c r="D60" s="348">
        <f>IF(D61*0.1&lt;D59,"Exceed 10% Rule","")</f>
      </c>
      <c r="E60" s="348">
        <f>IF(E61*0.1&lt;E59,"Exceed 10% Rule","")</f>
      </c>
    </row>
    <row r="61" spans="1:5" ht="15.75">
      <c r="A61" s="153" t="s">
        <v>172</v>
      </c>
      <c r="B61" s="304"/>
      <c r="C61" s="302">
        <f>SUM(C24:C59)</f>
        <v>7395850.47</v>
      </c>
      <c r="D61" s="260">
        <f>SUM(D24:D59)</f>
        <v>1418771</v>
      </c>
      <c r="E61" s="260">
        <f>SUM(E24:E59)</f>
        <v>1522368</v>
      </c>
    </row>
    <row r="62" spans="1:5" ht="15.75">
      <c r="A62" s="37" t="s">
        <v>290</v>
      </c>
      <c r="B62" s="304"/>
      <c r="C62" s="310">
        <f>C22-C61</f>
        <v>38062.28000000026</v>
      </c>
      <c r="D62" s="262">
        <f>D22-D61</f>
        <v>18041.28000000026</v>
      </c>
      <c r="E62" s="262">
        <f>E22-E61</f>
        <v>14423.28000000026</v>
      </c>
    </row>
    <row r="63" spans="1:5" ht="15.75">
      <c r="A63" s="23" t="str">
        <f>CONCATENATE("",E1-2," Budget Authority Limited Amount:")</f>
        <v>2008 Budget Authority Limited Amount:</v>
      </c>
      <c r="B63" s="331"/>
      <c r="C63" s="331">
        <f>inputOth!B84</f>
        <v>7510220</v>
      </c>
      <c r="D63" s="331">
        <f>inputPrYr!D46</f>
        <v>1432025</v>
      </c>
      <c r="E63" s="419"/>
    </row>
    <row r="64" spans="1:5" ht="15.75">
      <c r="A64" s="23" t="str">
        <f>CONCATENATE("Violation of Budget Law for ",E1-2,":")</f>
        <v>Violation of Budget Law for 2008:</v>
      </c>
      <c r="B64" s="332"/>
      <c r="C64" s="332" t="str">
        <f>IF(C61&gt;C63,"Yes","No")</f>
        <v>No</v>
      </c>
      <c r="D64" s="332" t="str">
        <f>IF(D61&gt;D63,"Yes","No")</f>
        <v>No</v>
      </c>
      <c r="E64" s="420"/>
    </row>
    <row r="65" spans="1:5" ht="15.75">
      <c r="A65" s="23" t="str">
        <f>CONCATENATE("Possible Cash Violation for ",E1-2,":")</f>
        <v>Possible Cash Violation for 2008:</v>
      </c>
      <c r="B65" s="332"/>
      <c r="C65" s="332" t="str">
        <f>IF(C62&lt;0,"Yes","No")</f>
        <v>No</v>
      </c>
      <c r="D65" s="332"/>
      <c r="E65" s="417"/>
    </row>
    <row r="66" spans="1:5" ht="15">
      <c r="A66" s="170"/>
      <c r="B66" s="170"/>
      <c r="C66" s="170"/>
      <c r="D66" s="170"/>
      <c r="E66" s="417"/>
    </row>
    <row r="67" spans="1:5" ht="15.75">
      <c r="A67" s="24"/>
      <c r="B67" s="24" t="s">
        <v>175</v>
      </c>
      <c r="C67" s="100">
        <v>17</v>
      </c>
      <c r="D67" s="170"/>
      <c r="E67" s="170"/>
    </row>
  </sheetData>
  <sheetProtection/>
  <conditionalFormatting sqref="E19">
    <cfRule type="cellIs" priority="1" dxfId="245" operator="greaterThan" stopIfTrue="1">
      <formula>$E$21*0.1</formula>
    </cfRule>
  </conditionalFormatting>
  <conditionalFormatting sqref="E59">
    <cfRule type="cellIs" priority="2" dxfId="245" operator="greaterThan" stopIfTrue="1">
      <formula>$E$61*0.1</formula>
    </cfRule>
  </conditionalFormatting>
  <conditionalFormatting sqref="D19">
    <cfRule type="cellIs" priority="3" dxfId="245" operator="greaterThan" stopIfTrue="1">
      <formula>$D$21*0.1</formula>
    </cfRule>
  </conditionalFormatting>
  <conditionalFormatting sqref="D59">
    <cfRule type="cellIs" priority="4" dxfId="245" operator="greaterThan" stopIfTrue="1">
      <formula>$D$61*0.1</formula>
    </cfRule>
  </conditionalFormatting>
  <conditionalFormatting sqref="C19">
    <cfRule type="cellIs" priority="5" dxfId="245" operator="greaterThan" stopIfTrue="1">
      <formula>$C$21*0.1</formula>
    </cfRule>
  </conditionalFormatting>
  <conditionalFormatting sqref="C59">
    <cfRule type="cellIs" priority="6" dxfId="245" operator="greaterThan" stopIfTrue="1">
      <formula>$C$61*0.1</formula>
    </cfRule>
  </conditionalFormatting>
  <conditionalFormatting sqref="D61">
    <cfRule type="cellIs" priority="7" dxfId="0" operator="greaterThan" stopIfTrue="1">
      <formula>$D$63</formula>
    </cfRule>
  </conditionalFormatting>
  <conditionalFormatting sqref="C61">
    <cfRule type="cellIs" priority="8" dxfId="0" operator="greaterThan" stopIfTrue="1">
      <formula>$C$63</formula>
    </cfRule>
  </conditionalFormatting>
  <conditionalFormatting sqref="C62 E62">
    <cfRule type="cellIs" priority="9" dxfId="0" operator="lessThan" stopIfTrue="1">
      <formula>0</formula>
    </cfRule>
  </conditionalFormatting>
  <printOptions/>
  <pageMargins left="0.7" right="0.7" top="0.75" bottom="0.75" header="0.3" footer="0.3"/>
  <pageSetup blackAndWhite="1" fitToHeight="1" fitToWidth="1" horizontalDpi="600" verticalDpi="600" orientation="portrait" scale="66" r:id="rId1"/>
  <headerFooter alignWithMargins="0">
    <oddHeader>&amp;RState of Kansas
City</oddHeader>
    <oddFooter>&amp;Lrevised 8/21/08</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E53"/>
  <sheetViews>
    <sheetView zoomScale="89" zoomScaleNormal="89" zoomScalePageLayoutView="0" workbookViewId="0" topLeftCell="A16">
      <selection activeCell="D11" sqref="D11"/>
    </sheetView>
  </sheetViews>
  <sheetFormatPr defaultColWidth="8.796875" defaultRowHeight="15"/>
  <cols>
    <col min="1" max="1" width="27.59765625" style="0" customWidth="1"/>
    <col min="2" max="2" width="9.59765625" style="0" customWidth="1"/>
    <col min="3" max="4" width="15.796875" style="362" customWidth="1"/>
    <col min="5" max="5" width="16.3984375" style="0" customWidth="1"/>
  </cols>
  <sheetData>
    <row r="1" spans="1:5" ht="15.75">
      <c r="A1" s="72" t="str">
        <f>(inputPrYr!D2)</f>
        <v>CITY OF PARK CITY</v>
      </c>
      <c r="B1" s="72"/>
      <c r="C1" s="380"/>
      <c r="D1" s="380"/>
      <c r="E1" s="144">
        <f>inputPrYr!$C$5</f>
        <v>2010</v>
      </c>
    </row>
    <row r="2" spans="1:5" ht="15.75">
      <c r="A2" s="21"/>
      <c r="B2" s="21"/>
      <c r="C2" s="380"/>
      <c r="D2" s="380"/>
      <c r="E2" s="24"/>
    </row>
    <row r="3" spans="1:5" ht="15.75">
      <c r="A3" s="90" t="s">
        <v>234</v>
      </c>
      <c r="B3" s="90"/>
      <c r="C3" s="381"/>
      <c r="D3" s="381"/>
      <c r="E3" s="197"/>
    </row>
    <row r="4" spans="1:5" ht="15.75">
      <c r="A4" s="25" t="s">
        <v>156</v>
      </c>
      <c r="B4" s="25"/>
      <c r="C4" s="370" t="s">
        <v>180</v>
      </c>
      <c r="D4" s="371" t="s">
        <v>317</v>
      </c>
      <c r="E4" s="33" t="s">
        <v>318</v>
      </c>
    </row>
    <row r="5" spans="1:5" ht="15.75">
      <c r="A5" s="138" t="str">
        <f>(inputPrYr!B47)</f>
        <v>Roving Senior Director Trust</v>
      </c>
      <c r="B5" s="138"/>
      <c r="C5" s="199">
        <f>E1-2</f>
        <v>2008</v>
      </c>
      <c r="D5" s="199">
        <f>E1-1</f>
        <v>2009</v>
      </c>
      <c r="E5" s="148">
        <f>inputPrYr!$C$5</f>
        <v>2010</v>
      </c>
    </row>
    <row r="6" spans="1:5" ht="15.75">
      <c r="A6" s="37" t="s">
        <v>289</v>
      </c>
      <c r="B6" s="304"/>
      <c r="C6" s="372">
        <v>1587</v>
      </c>
      <c r="D6" s="373">
        <f>C48</f>
        <v>2042.010000000002</v>
      </c>
      <c r="E6" s="85">
        <f>D48</f>
        <v>1655.010000000002</v>
      </c>
    </row>
    <row r="7" spans="1:5" ht="15.75">
      <c r="A7" s="303" t="s">
        <v>291</v>
      </c>
      <c r="B7" s="304"/>
      <c r="C7" s="374"/>
      <c r="D7" s="374"/>
      <c r="E7" s="40"/>
    </row>
    <row r="8" spans="1:5" ht="15.75">
      <c r="A8" s="296" t="s">
        <v>647</v>
      </c>
      <c r="B8" s="305"/>
      <c r="C8" s="372">
        <v>30753</v>
      </c>
      <c r="D8" s="372">
        <v>30753</v>
      </c>
      <c r="E8" s="13">
        <v>30753</v>
      </c>
    </row>
    <row r="9" spans="1:5" ht="15.75">
      <c r="A9" s="296" t="s">
        <v>648</v>
      </c>
      <c r="B9" s="305"/>
      <c r="C9" s="372">
        <v>2500</v>
      </c>
      <c r="D9" s="372">
        <v>2500</v>
      </c>
      <c r="E9" s="13">
        <v>2500</v>
      </c>
    </row>
    <row r="10" spans="1:5" ht="15.75">
      <c r="A10" s="296" t="s">
        <v>649</v>
      </c>
      <c r="B10" s="305"/>
      <c r="C10" s="372">
        <v>2500</v>
      </c>
      <c r="D10" s="372">
        <v>2500</v>
      </c>
      <c r="E10" s="13">
        <v>2500</v>
      </c>
    </row>
    <row r="11" spans="1:5" ht="15.75">
      <c r="A11" s="296" t="s">
        <v>650</v>
      </c>
      <c r="B11" s="305"/>
      <c r="C11" s="372">
        <v>2500</v>
      </c>
      <c r="D11" s="372">
        <v>6000</v>
      </c>
      <c r="E11" s="13">
        <v>7000</v>
      </c>
    </row>
    <row r="12" spans="1:5" ht="15.75">
      <c r="A12" s="296" t="s">
        <v>739</v>
      </c>
      <c r="B12" s="305"/>
      <c r="C12" s="372">
        <v>936</v>
      </c>
      <c r="D12" s="372"/>
      <c r="E12" s="13"/>
    </row>
    <row r="13" spans="1:5" ht="15.75">
      <c r="A13" s="296"/>
      <c r="B13" s="305"/>
      <c r="C13" s="372"/>
      <c r="D13" s="372"/>
      <c r="E13" s="13"/>
    </row>
    <row r="14" spans="1:5" ht="15.75">
      <c r="A14" s="297"/>
      <c r="B14" s="305"/>
      <c r="C14" s="372"/>
      <c r="D14" s="372"/>
      <c r="E14" s="18"/>
    </row>
    <row r="15" spans="1:5" ht="15.75">
      <c r="A15" s="296"/>
      <c r="B15" s="305"/>
      <c r="C15" s="372"/>
      <c r="D15" s="372"/>
      <c r="E15" s="13"/>
    </row>
    <row r="16" spans="1:5" ht="15.75">
      <c r="A16" s="298" t="s">
        <v>164</v>
      </c>
      <c r="B16" s="305"/>
      <c r="C16" s="372"/>
      <c r="D16" s="372"/>
      <c r="E16" s="13"/>
    </row>
    <row r="17" spans="1:5" ht="15.75">
      <c r="A17" s="316" t="s">
        <v>26</v>
      </c>
      <c r="B17" s="312"/>
      <c r="C17" s="372"/>
      <c r="D17" s="372"/>
      <c r="E17" s="13"/>
    </row>
    <row r="18" spans="1:5" ht="15.75">
      <c r="A18" s="306" t="s">
        <v>28</v>
      </c>
      <c r="B18" s="312"/>
      <c r="C18" s="376">
        <f>IF(C19*0.1&lt;C17,"Exceed 10% Rule","")</f>
      </c>
      <c r="D18" s="376">
        <f>IF(D19*0.1&lt;D17,"Exceed 10% Rule","")</f>
      </c>
      <c r="E18" s="348">
        <f>IF(E19*0.1&lt;E17,"Exceed 10% Rule","")</f>
      </c>
    </row>
    <row r="19" spans="1:5" ht="15.75">
      <c r="A19" s="153" t="s">
        <v>165</v>
      </c>
      <c r="B19" s="304"/>
      <c r="C19" s="377">
        <f>SUM(C8:C17)</f>
        <v>39189</v>
      </c>
      <c r="D19" s="377">
        <f>SUM(D8:D17)</f>
        <v>41753</v>
      </c>
      <c r="E19" s="260">
        <f>SUM(E8:E17)</f>
        <v>42753</v>
      </c>
    </row>
    <row r="20" spans="1:5" ht="15.75">
      <c r="A20" s="153" t="s">
        <v>166</v>
      </c>
      <c r="B20" s="304"/>
      <c r="C20" s="378">
        <f>C6+C19</f>
        <v>40776</v>
      </c>
      <c r="D20" s="378">
        <f>D6+D19</f>
        <v>43795.01</v>
      </c>
      <c r="E20" s="263">
        <f>E6+E19</f>
        <v>44408.01</v>
      </c>
    </row>
    <row r="21" spans="1:5" ht="15.75">
      <c r="A21" s="37" t="s">
        <v>168</v>
      </c>
      <c r="B21" s="304"/>
      <c r="C21" s="374"/>
      <c r="D21" s="374"/>
      <c r="E21" s="40"/>
    </row>
    <row r="22" spans="1:5" ht="15.75">
      <c r="A22" s="296" t="s">
        <v>348</v>
      </c>
      <c r="B22" s="305"/>
      <c r="C22" s="372">
        <v>31017</v>
      </c>
      <c r="D22" s="372">
        <v>31868</v>
      </c>
      <c r="E22" s="13">
        <v>32813</v>
      </c>
    </row>
    <row r="23" spans="1:5" ht="15.75">
      <c r="A23" s="296" t="s">
        <v>586</v>
      </c>
      <c r="B23" s="305"/>
      <c r="C23" s="372">
        <f>1922+449</f>
        <v>2371</v>
      </c>
      <c r="D23" s="372">
        <v>2438</v>
      </c>
      <c r="E23" s="13">
        <f>E22*0.0785</f>
        <v>2575.8205</v>
      </c>
    </row>
    <row r="24" spans="1:5" ht="15.75">
      <c r="A24" s="296" t="s">
        <v>582</v>
      </c>
      <c r="B24" s="305"/>
      <c r="C24" s="372">
        <v>1789</v>
      </c>
      <c r="D24" s="372">
        <v>2084</v>
      </c>
      <c r="E24" s="18">
        <f>E22*0.0714</f>
        <v>2342.8482000000004</v>
      </c>
    </row>
    <row r="25" spans="1:5" ht="15.75">
      <c r="A25" s="296" t="s">
        <v>651</v>
      </c>
      <c r="B25" s="305"/>
      <c r="C25" s="372">
        <f>96+85+60</f>
        <v>241</v>
      </c>
      <c r="D25" s="372">
        <v>550</v>
      </c>
      <c r="E25" s="18">
        <v>250</v>
      </c>
    </row>
    <row r="26" spans="1:5" ht="15.75">
      <c r="A26" s="296" t="s">
        <v>601</v>
      </c>
      <c r="B26" s="305"/>
      <c r="C26" s="372">
        <v>529.5</v>
      </c>
      <c r="D26" s="372">
        <v>1700</v>
      </c>
      <c r="E26" s="18">
        <v>1500</v>
      </c>
    </row>
    <row r="27" spans="1:5" ht="15.75">
      <c r="A27" s="296" t="s">
        <v>605</v>
      </c>
      <c r="B27" s="305"/>
      <c r="C27" s="372">
        <v>399</v>
      </c>
      <c r="D27" s="372">
        <v>600</v>
      </c>
      <c r="E27" s="18">
        <v>600</v>
      </c>
    </row>
    <row r="28" spans="1:5" ht="15.75">
      <c r="A28" s="296" t="s">
        <v>652</v>
      </c>
      <c r="B28" s="305"/>
      <c r="C28" s="372">
        <f>968+223</f>
        <v>1191</v>
      </c>
      <c r="D28" s="372">
        <v>1100</v>
      </c>
      <c r="E28" s="18">
        <v>1100</v>
      </c>
    </row>
    <row r="29" spans="1:5" ht="15.75">
      <c r="A29" s="296" t="s">
        <v>653</v>
      </c>
      <c r="B29" s="305"/>
      <c r="C29" s="372">
        <v>844.86</v>
      </c>
      <c r="D29" s="372">
        <v>1200</v>
      </c>
      <c r="E29" s="18">
        <v>1200</v>
      </c>
    </row>
    <row r="30" spans="1:5" ht="15.75">
      <c r="A30" s="296" t="s">
        <v>611</v>
      </c>
      <c r="B30" s="305"/>
      <c r="C30" s="372">
        <v>339.63</v>
      </c>
      <c r="D30" s="372">
        <v>600</v>
      </c>
      <c r="E30" s="18">
        <v>600</v>
      </c>
    </row>
    <row r="31" spans="1:5" ht="15.75">
      <c r="A31" s="296"/>
      <c r="B31" s="305"/>
      <c r="C31" s="372"/>
      <c r="D31" s="372"/>
      <c r="E31" s="18"/>
    </row>
    <row r="32" spans="1:5" ht="15.75">
      <c r="A32" s="296"/>
      <c r="B32" s="305"/>
      <c r="C32" s="372"/>
      <c r="D32" s="372"/>
      <c r="E32" s="18"/>
    </row>
    <row r="33" spans="1:5" ht="15.75">
      <c r="A33" s="296"/>
      <c r="B33" s="305"/>
      <c r="C33" s="372"/>
      <c r="D33" s="372"/>
      <c r="E33" s="18"/>
    </row>
    <row r="34" spans="1:5" ht="15.75">
      <c r="A34" s="296"/>
      <c r="B34" s="305"/>
      <c r="C34" s="372"/>
      <c r="D34" s="372"/>
      <c r="E34" s="18"/>
    </row>
    <row r="35" spans="1:5" ht="15.75">
      <c r="A35" s="296"/>
      <c r="B35" s="305"/>
      <c r="C35" s="372"/>
      <c r="D35" s="372"/>
      <c r="E35" s="13"/>
    </row>
    <row r="36" spans="1:5" ht="15.75">
      <c r="A36" s="296"/>
      <c r="B36" s="305"/>
      <c r="C36" s="372"/>
      <c r="D36" s="372"/>
      <c r="E36" s="13"/>
    </row>
    <row r="37" spans="1:5" ht="15.75">
      <c r="A37" s="296"/>
      <c r="B37" s="305"/>
      <c r="C37" s="372"/>
      <c r="D37" s="372"/>
      <c r="E37" s="13"/>
    </row>
    <row r="38" spans="1:5" ht="15.75">
      <c r="A38" s="296"/>
      <c r="B38" s="305"/>
      <c r="C38" s="372"/>
      <c r="D38" s="372"/>
      <c r="E38" s="13"/>
    </row>
    <row r="39" spans="1:5" ht="15.75">
      <c r="A39" s="296"/>
      <c r="B39" s="305"/>
      <c r="C39" s="372"/>
      <c r="D39" s="372"/>
      <c r="E39" s="13"/>
    </row>
    <row r="40" spans="1:5" ht="15.75">
      <c r="A40" s="296"/>
      <c r="B40" s="305"/>
      <c r="C40" s="372"/>
      <c r="D40" s="372"/>
      <c r="E40" s="13"/>
    </row>
    <row r="41" spans="1:5" ht="15.75">
      <c r="A41" s="296"/>
      <c r="B41" s="305"/>
      <c r="C41" s="372"/>
      <c r="D41" s="372"/>
      <c r="E41" s="13"/>
    </row>
    <row r="42" spans="1:5" ht="15.75">
      <c r="A42" s="296"/>
      <c r="B42" s="305"/>
      <c r="C42" s="372"/>
      <c r="D42" s="372"/>
      <c r="E42" s="13"/>
    </row>
    <row r="43" spans="1:5" ht="15.75">
      <c r="A43" s="296"/>
      <c r="B43" s="305"/>
      <c r="C43" s="372"/>
      <c r="D43" s="372"/>
      <c r="E43" s="13"/>
    </row>
    <row r="44" spans="1:5" ht="15.75">
      <c r="A44" s="296"/>
      <c r="B44" s="313"/>
      <c r="C44" s="372"/>
      <c r="D44" s="372"/>
      <c r="E44" s="13"/>
    </row>
    <row r="45" spans="1:5" ht="15.75">
      <c r="A45" s="314" t="s">
        <v>26</v>
      </c>
      <c r="B45" s="312"/>
      <c r="C45" s="372">
        <v>12</v>
      </c>
      <c r="D45" s="372">
        <v>0</v>
      </c>
      <c r="E45" s="13"/>
    </row>
    <row r="46" spans="1:5" ht="15.75">
      <c r="A46" s="314" t="s">
        <v>27</v>
      </c>
      <c r="B46" s="312"/>
      <c r="C46" s="376">
        <f>IF(C47*0.1&lt;C45,"Exceed 10% Rule","")</f>
      </c>
      <c r="D46" s="376">
        <f>IF(D47*0.1&lt;D45,"Exceed 10% Rule","")</f>
      </c>
      <c r="E46" s="382">
        <f>IF(E47*0.1&lt;E45,"Exceed 10% Rule","")</f>
      </c>
    </row>
    <row r="47" spans="1:5" ht="15.75">
      <c r="A47" s="153" t="s">
        <v>172</v>
      </c>
      <c r="B47" s="304"/>
      <c r="C47" s="377">
        <f>SUM(C22:C45)</f>
        <v>38733.99</v>
      </c>
      <c r="D47" s="377">
        <f>SUM(D22:D45)</f>
        <v>42140</v>
      </c>
      <c r="E47" s="260">
        <f>SUM(E22:E45)</f>
        <v>42981.6687</v>
      </c>
    </row>
    <row r="48" spans="1:5" ht="15.75">
      <c r="A48" s="37" t="s">
        <v>290</v>
      </c>
      <c r="B48" s="304"/>
      <c r="C48" s="375">
        <f>C20-C47</f>
        <v>2042.010000000002</v>
      </c>
      <c r="D48" s="375">
        <f>D20-D47</f>
        <v>1655.010000000002</v>
      </c>
      <c r="E48" s="262">
        <f>E20-E47</f>
        <v>1426.3413</v>
      </c>
    </row>
    <row r="49" spans="1:5" ht="15.75">
      <c r="A49" s="23" t="str">
        <f>CONCATENATE("",E1-2,"/",E1-1," Budget Authority Amount:")</f>
        <v>2008/2009 Budget Authority Amount:</v>
      </c>
      <c r="B49" s="331"/>
      <c r="C49" s="331">
        <f>inputOth!B85</f>
        <v>40469</v>
      </c>
      <c r="D49" s="331">
        <f>inputPrYr!D47</f>
        <v>42140</v>
      </c>
      <c r="E49" s="393">
        <f>IF(E48&lt;0,"Budget Violation","")</f>
      </c>
    </row>
    <row r="50" spans="1:5" ht="15.75">
      <c r="A50" s="23" t="str">
        <f>CONCATENATE("Violation of Budget Law for ",E1-2,"/",E1-1,":")</f>
        <v>Violation of Budget Law for 2008/2009:</v>
      </c>
      <c r="B50" s="332"/>
      <c r="C50" s="332" t="str">
        <f>IF(C47&gt;C49,"Yes","No")</f>
        <v>No</v>
      </c>
      <c r="D50" s="332" t="str">
        <f>IF(D47&gt;D49,"Yes","No")</f>
        <v>No</v>
      </c>
      <c r="E50" s="170"/>
    </row>
    <row r="51" spans="1:5" ht="15.75">
      <c r="A51" s="23" t="str">
        <f>CONCATENATE("Possible Cash Violation for ",E1-2,":")</f>
        <v>Possible Cash Violation for 2008:</v>
      </c>
      <c r="B51" s="332"/>
      <c r="C51" s="332" t="str">
        <f>IF(D48&lt;0,"Yes","No")</f>
        <v>No</v>
      </c>
      <c r="D51" s="332"/>
      <c r="E51" s="170"/>
    </row>
    <row r="52" spans="1:5" ht="15">
      <c r="A52" s="170"/>
      <c r="B52" s="170"/>
      <c r="C52" s="379"/>
      <c r="D52" s="379"/>
      <c r="E52" s="170"/>
    </row>
    <row r="53" spans="1:5" ht="15.75">
      <c r="A53" s="24"/>
      <c r="B53" s="24" t="s">
        <v>175</v>
      </c>
      <c r="C53" s="100">
        <v>18</v>
      </c>
      <c r="D53" s="379"/>
      <c r="E53" s="170"/>
    </row>
  </sheetData>
  <sheetProtection sheet="1" objects="1" scenarios="1"/>
  <conditionalFormatting sqref="E17">
    <cfRule type="cellIs" priority="1" dxfId="245" operator="greaterThan" stopIfTrue="1">
      <formula>$E$19*0.1</formula>
    </cfRule>
  </conditionalFormatting>
  <conditionalFormatting sqref="E45">
    <cfRule type="cellIs" priority="2" dxfId="245" operator="greaterThan" stopIfTrue="1">
      <formula>$E$47*0.1</formula>
    </cfRule>
  </conditionalFormatting>
  <conditionalFormatting sqref="C45">
    <cfRule type="cellIs" priority="3" dxfId="0" operator="greaterThan" stopIfTrue="1">
      <formula>$C$47*0.1</formula>
    </cfRule>
  </conditionalFormatting>
  <conditionalFormatting sqref="D45">
    <cfRule type="cellIs" priority="4" dxfId="0" operator="greaterThan" stopIfTrue="1">
      <formula>$D$47*0.1</formula>
    </cfRule>
  </conditionalFormatting>
  <conditionalFormatting sqref="D47">
    <cfRule type="cellIs" priority="5" dxfId="0" operator="greaterThan" stopIfTrue="1">
      <formula>$D$49</formula>
    </cfRule>
  </conditionalFormatting>
  <conditionalFormatting sqref="C47">
    <cfRule type="cellIs" priority="6" dxfId="0" operator="greaterThan" stopIfTrue="1">
      <formula>$C$49</formula>
    </cfRule>
  </conditionalFormatting>
  <conditionalFormatting sqref="C48 E48">
    <cfRule type="cellIs" priority="7" dxfId="0" operator="lessThan" stopIfTrue="1">
      <formula>0</formula>
    </cfRule>
  </conditionalFormatting>
  <printOptions/>
  <pageMargins left="0.75" right="0.75" top="1" bottom="1" header="0.5" footer="0.5"/>
  <pageSetup blackAndWhite="1" fitToHeight="1" fitToWidth="1" horizontalDpi="600" verticalDpi="600" orientation="portrait" scale="78" r:id="rId1"/>
  <headerFooter alignWithMargins="0">
    <oddHeader>&amp;RState of Kansas
City</oddHeader>
    <oddFooter>&amp;Lrevised 8/21/08</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3">
      <selection activeCell="H29" sqref="H29"/>
    </sheetView>
  </sheetViews>
  <sheetFormatPr defaultColWidth="8.796875" defaultRowHeight="15"/>
  <cols>
    <col min="1" max="1" width="11.59765625" style="2" customWidth="1"/>
    <col min="2" max="2" width="7.3984375" style="2" customWidth="1"/>
    <col min="3" max="3" width="11.59765625" style="2" customWidth="1"/>
    <col min="4" max="4" width="7.3984375" style="2" customWidth="1"/>
    <col min="5" max="5" width="11.59765625" style="2" customWidth="1"/>
    <col min="6" max="6" width="7.3984375" style="2" customWidth="1"/>
    <col min="7" max="7" width="11.59765625" style="2" customWidth="1"/>
    <col min="8" max="8" width="7.3984375" style="2" customWidth="1"/>
    <col min="9" max="9" width="11.59765625" style="2" customWidth="1"/>
    <col min="10" max="16384" width="8.8984375" style="2" customWidth="1"/>
  </cols>
  <sheetData>
    <row r="1" spans="1:11" ht="15.75">
      <c r="A1" s="51" t="str">
        <f>inputPrYr!$D$2</f>
        <v>CITY OF PARK CITY</v>
      </c>
      <c r="B1" s="154"/>
      <c r="C1" s="50"/>
      <c r="D1" s="50"/>
      <c r="E1" s="50"/>
      <c r="F1" s="52" t="s">
        <v>320</v>
      </c>
      <c r="G1" s="50"/>
      <c r="H1" s="50"/>
      <c r="I1" s="50"/>
      <c r="J1" s="50"/>
      <c r="K1" s="50">
        <f>inputPrYr!$C$5</f>
        <v>2010</v>
      </c>
    </row>
    <row r="2" spans="1:11" ht="15.75">
      <c r="A2" s="50"/>
      <c r="B2" s="50"/>
      <c r="C2" s="50"/>
      <c r="D2" s="50"/>
      <c r="E2" s="50"/>
      <c r="F2" s="360" t="str">
        <f>CONCATENATE("(Only the actual budget year for ",K1-2," is to be shown)")</f>
        <v>(Only the actual budget year for 2008 is to be shown)</v>
      </c>
      <c r="G2" s="50"/>
      <c r="H2" s="50"/>
      <c r="I2" s="50"/>
      <c r="J2" s="50"/>
      <c r="K2" s="50"/>
    </row>
    <row r="3" spans="1:11" ht="15.75">
      <c r="A3" s="50" t="s">
        <v>375</v>
      </c>
      <c r="B3" s="50"/>
      <c r="C3" s="50"/>
      <c r="D3" s="50"/>
      <c r="E3" s="50"/>
      <c r="F3" s="359"/>
      <c r="G3" s="50"/>
      <c r="H3" s="50"/>
      <c r="I3" s="50"/>
      <c r="J3" s="50"/>
      <c r="K3" s="50"/>
    </row>
    <row r="4" spans="1:11" ht="15.75">
      <c r="A4" s="50" t="s">
        <v>321</v>
      </c>
      <c r="B4" s="50"/>
      <c r="C4" s="50" t="s">
        <v>322</v>
      </c>
      <c r="D4" s="50"/>
      <c r="E4" s="50" t="s">
        <v>323</v>
      </c>
      <c r="F4" s="154"/>
      <c r="G4" s="50" t="s">
        <v>324</v>
      </c>
      <c r="H4" s="50"/>
      <c r="I4" s="50" t="s">
        <v>325</v>
      </c>
      <c r="J4" s="50"/>
      <c r="K4" s="50"/>
    </row>
    <row r="5" spans="1:11" ht="15.75">
      <c r="A5" s="502" t="str">
        <f>IF(inputPrYr!B51&gt;" ",(inputPrYr!B51)," ")</f>
        <v>Capital Impovement Fd.</v>
      </c>
      <c r="B5" s="503"/>
      <c r="C5" s="502" t="str">
        <f>IF(inputPrYr!B52&gt;" ",(inputPrYr!B52)," ")</f>
        <v>Capital Equipment Fund</v>
      </c>
      <c r="D5" s="503"/>
      <c r="E5" s="502" t="str">
        <f>IF(inputPrYr!B53&gt;" ",(inputPrYr!B53)," ")</f>
        <v>City Expendable Trust Fd</v>
      </c>
      <c r="F5" s="503"/>
      <c r="G5" s="502" t="str">
        <f>IF(inputPrYr!B54&gt;" ",(inputPrYr!B54)," ")</f>
        <v>Law Enforcement Trust Fd</v>
      </c>
      <c r="H5" s="503"/>
      <c r="I5" s="502" t="str">
        <f>IF(inputPrYr!B55&gt;" ",(inputPrYr!B55)," ")</f>
        <v>Capital Projects</v>
      </c>
      <c r="J5" s="503"/>
      <c r="K5" s="155"/>
    </row>
    <row r="6" spans="1:11" ht="15.75">
      <c r="A6" s="156" t="s">
        <v>326</v>
      </c>
      <c r="B6" s="157"/>
      <c r="C6" s="158" t="s">
        <v>326</v>
      </c>
      <c r="D6" s="159"/>
      <c r="E6" s="158" t="s">
        <v>326</v>
      </c>
      <c r="F6" s="160"/>
      <c r="G6" s="158" t="s">
        <v>326</v>
      </c>
      <c r="H6" s="161"/>
      <c r="I6" s="158" t="s">
        <v>326</v>
      </c>
      <c r="J6" s="50"/>
      <c r="K6" s="162" t="s">
        <v>127</v>
      </c>
    </row>
    <row r="7" spans="1:11" ht="15.75">
      <c r="A7" s="163" t="s">
        <v>48</v>
      </c>
      <c r="B7" s="278">
        <v>635561</v>
      </c>
      <c r="C7" s="164" t="s">
        <v>48</v>
      </c>
      <c r="D7" s="278">
        <v>55007</v>
      </c>
      <c r="E7" s="164" t="s">
        <v>48</v>
      </c>
      <c r="F7" s="278">
        <v>1894</v>
      </c>
      <c r="G7" s="164" t="s">
        <v>48</v>
      </c>
      <c r="H7" s="278">
        <v>16633</v>
      </c>
      <c r="I7" s="164" t="s">
        <v>48</v>
      </c>
      <c r="J7" s="278">
        <v>1564365</v>
      </c>
      <c r="K7" s="264">
        <f>SUM(B7+D7+F7+H7+J7)</f>
        <v>2273460</v>
      </c>
    </row>
    <row r="8" spans="1:11" ht="15.75">
      <c r="A8" s="165" t="s">
        <v>291</v>
      </c>
      <c r="B8" s="166"/>
      <c r="C8" s="165" t="s">
        <v>291</v>
      </c>
      <c r="D8" s="167"/>
      <c r="E8" s="165" t="s">
        <v>291</v>
      </c>
      <c r="F8" s="154"/>
      <c r="G8" s="165" t="s">
        <v>291</v>
      </c>
      <c r="H8" s="50"/>
      <c r="I8" s="165" t="s">
        <v>291</v>
      </c>
      <c r="J8" s="50"/>
      <c r="K8" s="154"/>
    </row>
    <row r="9" spans="1:11" ht="15.75">
      <c r="A9" s="277" t="s">
        <v>654</v>
      </c>
      <c r="B9" s="278">
        <v>10000</v>
      </c>
      <c r="C9" s="277" t="s">
        <v>661</v>
      </c>
      <c r="D9" s="278">
        <v>15500</v>
      </c>
      <c r="E9" s="277" t="s">
        <v>666</v>
      </c>
      <c r="F9" s="278">
        <v>1124</v>
      </c>
      <c r="G9" s="277" t="s">
        <v>668</v>
      </c>
      <c r="H9" s="278">
        <v>2143</v>
      </c>
      <c r="I9" s="277" t="s">
        <v>671</v>
      </c>
      <c r="J9" s="278">
        <v>4101336</v>
      </c>
      <c r="K9" s="154"/>
    </row>
    <row r="10" spans="1:11" ht="15.75">
      <c r="A10" s="277" t="s">
        <v>655</v>
      </c>
      <c r="B10" s="278">
        <v>8600</v>
      </c>
      <c r="C10" s="277" t="s">
        <v>662</v>
      </c>
      <c r="D10" s="278">
        <v>2200</v>
      </c>
      <c r="E10" s="277"/>
      <c r="F10" s="278"/>
      <c r="G10" s="277"/>
      <c r="H10" s="278"/>
      <c r="I10" s="277" t="s">
        <v>672</v>
      </c>
      <c r="J10" s="278">
        <v>5033256</v>
      </c>
      <c r="K10" s="154"/>
    </row>
    <row r="11" spans="1:11" ht="15.75">
      <c r="A11" s="277" t="s">
        <v>656</v>
      </c>
      <c r="B11" s="278">
        <v>47400</v>
      </c>
      <c r="C11" s="279" t="s">
        <v>663</v>
      </c>
      <c r="D11" s="278">
        <v>4000</v>
      </c>
      <c r="E11" s="279"/>
      <c r="F11" s="278"/>
      <c r="G11" s="279"/>
      <c r="H11" s="278"/>
      <c r="I11" s="280" t="s">
        <v>673</v>
      </c>
      <c r="J11" s="278">
        <v>976</v>
      </c>
      <c r="K11" s="154"/>
    </row>
    <row r="12" spans="1:11" ht="15.75">
      <c r="A12" s="277" t="s">
        <v>657</v>
      </c>
      <c r="B12" s="278">
        <v>10000</v>
      </c>
      <c r="C12" s="277" t="s">
        <v>664</v>
      </c>
      <c r="D12" s="278">
        <v>5000</v>
      </c>
      <c r="E12" s="281"/>
      <c r="F12" s="278"/>
      <c r="G12" s="281"/>
      <c r="H12" s="278"/>
      <c r="I12" s="281" t="s">
        <v>773</v>
      </c>
      <c r="J12" s="278">
        <v>107688</v>
      </c>
      <c r="K12" s="154"/>
    </row>
    <row r="13" spans="1:11" ht="15.75">
      <c r="A13" s="282"/>
      <c r="B13" s="278"/>
      <c r="C13" s="283" t="s">
        <v>665</v>
      </c>
      <c r="D13" s="278">
        <v>2000</v>
      </c>
      <c r="E13" s="283"/>
      <c r="F13" s="278"/>
      <c r="G13" s="283"/>
      <c r="H13" s="278"/>
      <c r="I13" s="280" t="s">
        <v>774</v>
      </c>
      <c r="J13" s="278">
        <v>249997</v>
      </c>
      <c r="K13" s="154"/>
    </row>
    <row r="14" spans="1:11" ht="15.75">
      <c r="A14" s="277"/>
      <c r="B14" s="278"/>
      <c r="C14" s="281" t="s">
        <v>742</v>
      </c>
      <c r="D14" s="278">
        <v>4000</v>
      </c>
      <c r="E14" s="281"/>
      <c r="F14" s="278"/>
      <c r="G14" s="281"/>
      <c r="H14" s="278"/>
      <c r="I14" s="281" t="s">
        <v>775</v>
      </c>
      <c r="J14" s="278">
        <v>25000</v>
      </c>
      <c r="K14" s="154"/>
    </row>
    <row r="15" spans="1:11" ht="15.75">
      <c r="A15" s="277" t="s">
        <v>669</v>
      </c>
      <c r="B15" s="278">
        <v>9786</v>
      </c>
      <c r="C15" s="281" t="s">
        <v>669</v>
      </c>
      <c r="D15" s="278">
        <v>1287</v>
      </c>
      <c r="E15" s="281"/>
      <c r="F15" s="278"/>
      <c r="G15" s="281" t="s">
        <v>669</v>
      </c>
      <c r="H15" s="278">
        <v>32</v>
      </c>
      <c r="I15" s="281" t="s">
        <v>669</v>
      </c>
      <c r="J15" s="278">
        <v>49635</v>
      </c>
      <c r="K15" s="154"/>
    </row>
    <row r="16" spans="1:11" ht="15.75">
      <c r="A16" s="277"/>
      <c r="B16" s="278"/>
      <c r="C16" s="277"/>
      <c r="D16" s="278"/>
      <c r="E16" s="277"/>
      <c r="F16" s="278"/>
      <c r="G16" s="281"/>
      <c r="H16" s="278"/>
      <c r="I16" s="277"/>
      <c r="J16" s="278"/>
      <c r="K16" s="154"/>
    </row>
    <row r="17" spans="1:11" ht="15.75">
      <c r="A17" s="165" t="s">
        <v>165</v>
      </c>
      <c r="B17" s="264">
        <f>SUM(B9:B16)</f>
        <v>85786</v>
      </c>
      <c r="C17" s="165" t="s">
        <v>165</v>
      </c>
      <c r="D17" s="265">
        <f>SUM(D9:D16)</f>
        <v>33987</v>
      </c>
      <c r="E17" s="165" t="s">
        <v>165</v>
      </c>
      <c r="F17" s="266">
        <f>SUM(F9:F16)</f>
        <v>1124</v>
      </c>
      <c r="G17" s="165" t="s">
        <v>165</v>
      </c>
      <c r="H17" s="265">
        <f>SUM(H9:H16)</f>
        <v>2175</v>
      </c>
      <c r="I17" s="165" t="s">
        <v>165</v>
      </c>
      <c r="J17" s="265">
        <f>SUM(J9:J16)</f>
        <v>9567888</v>
      </c>
      <c r="K17" s="264">
        <f>SUM(B17+D17+F17+H17+J17)</f>
        <v>9690960</v>
      </c>
    </row>
    <row r="18" spans="1:11" ht="15.75">
      <c r="A18" s="165" t="s">
        <v>166</v>
      </c>
      <c r="B18" s="264">
        <f>SUM(B7+B17)</f>
        <v>721347</v>
      </c>
      <c r="C18" s="165" t="s">
        <v>166</v>
      </c>
      <c r="D18" s="264">
        <f>SUM(D7+D17)</f>
        <v>88994</v>
      </c>
      <c r="E18" s="165" t="s">
        <v>166</v>
      </c>
      <c r="F18" s="264">
        <f>SUM(F7+F17)</f>
        <v>3018</v>
      </c>
      <c r="G18" s="165" t="s">
        <v>166</v>
      </c>
      <c r="H18" s="264">
        <f>SUM(H7+H17)</f>
        <v>18808</v>
      </c>
      <c r="I18" s="165" t="s">
        <v>166</v>
      </c>
      <c r="J18" s="264">
        <f>SUM(J7+J17)</f>
        <v>11132253</v>
      </c>
      <c r="K18" s="264">
        <f>SUM(B18+D18+F18+H18+J18)</f>
        <v>11964420</v>
      </c>
    </row>
    <row r="19" spans="1:11" ht="15.75">
      <c r="A19" s="165" t="s">
        <v>168</v>
      </c>
      <c r="B19" s="166"/>
      <c r="C19" s="165" t="s">
        <v>168</v>
      </c>
      <c r="D19" s="167"/>
      <c r="E19" s="165" t="s">
        <v>168</v>
      </c>
      <c r="F19" s="154"/>
      <c r="G19" s="165" t="s">
        <v>168</v>
      </c>
      <c r="H19" s="50"/>
      <c r="I19" s="165" t="s">
        <v>168</v>
      </c>
      <c r="J19" s="50"/>
      <c r="K19" s="154"/>
    </row>
    <row r="20" spans="1:11" ht="15.75">
      <c r="A20" s="277" t="s">
        <v>595</v>
      </c>
      <c r="B20" s="278">
        <v>50000.04</v>
      </c>
      <c r="C20" s="281" t="s">
        <v>595</v>
      </c>
      <c r="D20" s="278"/>
      <c r="E20" s="281" t="s">
        <v>743</v>
      </c>
      <c r="F20" s="278">
        <f>374+660</f>
        <v>1034</v>
      </c>
      <c r="G20" s="281" t="s">
        <v>670</v>
      </c>
      <c r="H20" s="278"/>
      <c r="I20" s="281" t="s">
        <v>723</v>
      </c>
      <c r="J20" s="278">
        <v>2099846</v>
      </c>
      <c r="K20" s="154"/>
    </row>
    <row r="21" spans="1:11" ht="15.75">
      <c r="A21" s="277" t="s">
        <v>658</v>
      </c>
      <c r="B21" s="278">
        <f>72+3755</f>
        <v>3827</v>
      </c>
      <c r="C21" s="281"/>
      <c r="D21" s="278"/>
      <c r="E21" s="281" t="s">
        <v>667</v>
      </c>
      <c r="F21" s="278">
        <v>72</v>
      </c>
      <c r="G21" s="281"/>
      <c r="H21" s="278"/>
      <c r="I21" s="281" t="s">
        <v>724</v>
      </c>
      <c r="J21" s="278">
        <v>252286</v>
      </c>
      <c r="K21" s="154"/>
    </row>
    <row r="22" spans="1:11" ht="15.75">
      <c r="A22" s="277" t="s">
        <v>659</v>
      </c>
      <c r="B22" s="278">
        <v>33710</v>
      </c>
      <c r="C22" s="283"/>
      <c r="D22" s="278"/>
      <c r="E22" s="283" t="s">
        <v>744</v>
      </c>
      <c r="F22" s="278">
        <v>145</v>
      </c>
      <c r="G22" s="283"/>
      <c r="H22" s="278"/>
      <c r="I22" s="280" t="s">
        <v>725</v>
      </c>
      <c r="J22" s="278">
        <v>4903803</v>
      </c>
      <c r="K22" s="154"/>
    </row>
    <row r="23" spans="1:11" ht="15.75">
      <c r="A23" s="277" t="s">
        <v>660</v>
      </c>
      <c r="B23" s="278">
        <v>26128</v>
      </c>
      <c r="C23" s="281"/>
      <c r="D23" s="278"/>
      <c r="E23" s="281"/>
      <c r="F23" s="278"/>
      <c r="G23" s="281" t="s">
        <v>795</v>
      </c>
      <c r="H23" s="278">
        <v>14268</v>
      </c>
      <c r="I23" s="281" t="s">
        <v>726</v>
      </c>
      <c r="J23" s="278">
        <v>108195</v>
      </c>
      <c r="K23" s="154"/>
    </row>
    <row r="24" spans="1:11" ht="15.75">
      <c r="A24" s="277" t="s">
        <v>740</v>
      </c>
      <c r="B24" s="278"/>
      <c r="C24" s="283"/>
      <c r="D24" s="278"/>
      <c r="E24" s="283"/>
      <c r="F24" s="278"/>
      <c r="G24" s="283" t="s">
        <v>796</v>
      </c>
      <c r="H24" s="278">
        <v>2189</v>
      </c>
      <c r="I24" s="280" t="s">
        <v>727</v>
      </c>
      <c r="J24" s="278">
        <v>271478</v>
      </c>
      <c r="K24" s="154"/>
    </row>
    <row r="25" spans="1:11" ht="15.75">
      <c r="A25" s="277"/>
      <c r="B25" s="278"/>
      <c r="C25" s="281"/>
      <c r="D25" s="278"/>
      <c r="E25" s="281"/>
      <c r="F25" s="278"/>
      <c r="G25" s="281"/>
      <c r="H25" s="278"/>
      <c r="I25" s="281" t="s">
        <v>26</v>
      </c>
      <c r="J25" s="278">
        <v>160679</v>
      </c>
      <c r="K25" s="154"/>
    </row>
    <row r="26" spans="1:11" ht="15.75">
      <c r="A26" s="277" t="s">
        <v>741</v>
      </c>
      <c r="B26" s="278">
        <v>249997.3</v>
      </c>
      <c r="C26" s="281"/>
      <c r="D26" s="278"/>
      <c r="E26" s="281"/>
      <c r="F26" s="278"/>
      <c r="G26" s="281"/>
      <c r="H26" s="278"/>
      <c r="I26" s="281" t="s">
        <v>728</v>
      </c>
      <c r="J26" s="278">
        <v>969397</v>
      </c>
      <c r="K26" s="154"/>
    </row>
    <row r="27" spans="1:11" ht="15.75">
      <c r="A27" s="277"/>
      <c r="B27" s="278"/>
      <c r="C27" s="277"/>
      <c r="D27" s="278"/>
      <c r="E27" s="277"/>
      <c r="F27" s="278"/>
      <c r="G27" s="281"/>
      <c r="H27" s="278"/>
      <c r="I27" s="281" t="s">
        <v>729</v>
      </c>
      <c r="J27" s="278">
        <v>57790</v>
      </c>
      <c r="K27" s="154"/>
    </row>
    <row r="28" spans="1:11" ht="15.75">
      <c r="A28" s="165" t="s">
        <v>172</v>
      </c>
      <c r="B28" s="264">
        <f>SUM(B20:B27)</f>
        <v>363662.33999999997</v>
      </c>
      <c r="C28" s="165" t="s">
        <v>172</v>
      </c>
      <c r="D28" s="265">
        <f>SUM(D20:D27)</f>
        <v>0</v>
      </c>
      <c r="E28" s="165" t="s">
        <v>172</v>
      </c>
      <c r="F28" s="266">
        <f>SUM(F20:F27)</f>
        <v>1251</v>
      </c>
      <c r="G28" s="165" t="s">
        <v>172</v>
      </c>
      <c r="H28" s="266">
        <f>SUM(H20:H27)</f>
        <v>16457</v>
      </c>
      <c r="I28" s="165" t="s">
        <v>172</v>
      </c>
      <c r="J28" s="265">
        <f>SUM(J20:J27)</f>
        <v>8823474</v>
      </c>
      <c r="K28" s="264">
        <f>SUM(B28+D28+F28+H28+J28)</f>
        <v>9204844.34</v>
      </c>
    </row>
    <row r="29" spans="1:12" ht="15.75">
      <c r="A29" s="165" t="s">
        <v>327</v>
      </c>
      <c r="B29" s="264">
        <f>SUM(B18-B28)</f>
        <v>357684.66000000003</v>
      </c>
      <c r="C29" s="165" t="s">
        <v>327</v>
      </c>
      <c r="D29" s="264">
        <f>SUM(D18-D28)</f>
        <v>88994</v>
      </c>
      <c r="E29" s="165" t="s">
        <v>327</v>
      </c>
      <c r="F29" s="264">
        <f>SUM(F18-F28)</f>
        <v>1767</v>
      </c>
      <c r="G29" s="165" t="s">
        <v>327</v>
      </c>
      <c r="H29" s="264">
        <f>SUM(H18-H28)</f>
        <v>2351</v>
      </c>
      <c r="I29" s="165" t="s">
        <v>327</v>
      </c>
      <c r="J29" s="264">
        <f>SUM(J18-J28)</f>
        <v>2308779</v>
      </c>
      <c r="K29" s="267">
        <f>SUM(B29+D29+F29+H29+J29)</f>
        <v>2759575.66</v>
      </c>
      <c r="L29" s="2" t="s">
        <v>417</v>
      </c>
    </row>
    <row r="30" spans="1:12" ht="15.75">
      <c r="A30" s="165"/>
      <c r="B30" s="363">
        <f>IF(B29&lt;0,"Neg Bal","")</f>
      </c>
      <c r="C30" s="165"/>
      <c r="D30" s="363">
        <f>IF(D29&lt;0,"Neg Bal","")</f>
      </c>
      <c r="E30" s="165"/>
      <c r="F30" s="363">
        <f>IF(F29&lt;0,"Neg Bal","")</f>
      </c>
      <c r="G30" s="50"/>
      <c r="H30" s="363">
        <f>IF(H29&lt;0,"Neg Bal","")</f>
      </c>
      <c r="I30" s="50"/>
      <c r="J30" s="363">
        <f>IF(J29&lt;0,"Neg Bal","")</f>
      </c>
      <c r="K30" s="267">
        <f>SUM(K7+K17-K28)</f>
        <v>2759575.66</v>
      </c>
      <c r="L30" s="2" t="s">
        <v>417</v>
      </c>
    </row>
    <row r="31" spans="1:11" ht="15.75">
      <c r="A31" s="50"/>
      <c r="B31" s="55"/>
      <c r="C31" s="50"/>
      <c r="D31" s="154"/>
      <c r="E31" s="50"/>
      <c r="F31" s="50"/>
      <c r="G31" s="354" t="s">
        <v>419</v>
      </c>
      <c r="H31" s="354"/>
      <c r="I31" s="354"/>
      <c r="J31" s="354"/>
      <c r="K31" s="50"/>
    </row>
    <row r="32" spans="1:11" ht="15.75">
      <c r="A32" s="50"/>
      <c r="B32" s="55"/>
      <c r="C32" s="50"/>
      <c r="D32" s="50"/>
      <c r="E32" s="50"/>
      <c r="F32" s="50"/>
      <c r="G32" s="50"/>
      <c r="H32" s="50"/>
      <c r="I32" s="50"/>
      <c r="J32" s="50"/>
      <c r="K32" s="50"/>
    </row>
    <row r="33" spans="1:11" ht="15.75">
      <c r="A33" s="50"/>
      <c r="B33" s="55"/>
      <c r="C33" s="50"/>
      <c r="D33" s="50"/>
      <c r="E33" s="63" t="s">
        <v>175</v>
      </c>
      <c r="F33" s="100">
        <v>19</v>
      </c>
      <c r="G33" s="50"/>
      <c r="H33" s="50"/>
      <c r="I33" s="50"/>
      <c r="J33" s="50"/>
      <c r="K33" s="50"/>
    </row>
    <row r="34" ht="15.75">
      <c r="B34" s="168"/>
    </row>
    <row r="35" ht="15.75">
      <c r="B35" s="168"/>
    </row>
    <row r="36" ht="15.75">
      <c r="B36" s="168"/>
    </row>
    <row r="37" ht="15.75">
      <c r="B37" s="168"/>
    </row>
    <row r="38" ht="15.75">
      <c r="B38" s="168"/>
    </row>
    <row r="39" ht="15.75">
      <c r="B39" s="168"/>
    </row>
    <row r="40" ht="15.75">
      <c r="B40" s="168"/>
    </row>
    <row r="41" ht="15.75">
      <c r="B41" s="168"/>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oddFooter>&amp;Lrevised 7/01/08</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0">
      <selection activeCell="I25" sqref="I25:I26"/>
    </sheetView>
  </sheetViews>
  <sheetFormatPr defaultColWidth="8.796875" defaultRowHeight="15"/>
  <cols>
    <col min="1" max="1" width="11.59765625" style="2" customWidth="1"/>
    <col min="2" max="2" width="7.3984375" style="2" customWidth="1"/>
    <col min="3" max="3" width="11.59765625" style="2" customWidth="1"/>
    <col min="4" max="4" width="7.3984375" style="2" customWidth="1"/>
    <col min="5" max="5" width="11.59765625" style="2" customWidth="1"/>
    <col min="6" max="6" width="7.3984375" style="2" customWidth="1"/>
    <col min="7" max="7" width="11.59765625" style="2" customWidth="1"/>
    <col min="8" max="8" width="7.3984375" style="2" customWidth="1"/>
    <col min="9" max="9" width="11.59765625" style="2" customWidth="1"/>
    <col min="10" max="16384" width="8.8984375" style="2" customWidth="1"/>
  </cols>
  <sheetData>
    <row r="1" spans="1:11" ht="15.75">
      <c r="A1" s="51" t="str">
        <f>inputPrYr!$D$2</f>
        <v>CITY OF PARK CITY</v>
      </c>
      <c r="B1" s="154"/>
      <c r="C1" s="50"/>
      <c r="D1" s="50"/>
      <c r="E1" s="50"/>
      <c r="F1" s="52" t="s">
        <v>328</v>
      </c>
      <c r="G1" s="50"/>
      <c r="H1" s="50"/>
      <c r="I1" s="50"/>
      <c r="J1" s="50"/>
      <c r="K1" s="50">
        <f>inputPrYr!$C$5</f>
        <v>2010</v>
      </c>
    </row>
    <row r="2" spans="1:11" ht="15.75">
      <c r="A2" s="50"/>
      <c r="B2" s="50"/>
      <c r="C2" s="50"/>
      <c r="D2" s="50"/>
      <c r="E2" s="50"/>
      <c r="F2" s="360" t="str">
        <f>CONCATENATE("(Only the actual budget year for ",K1-2," is to be shown)")</f>
        <v>(Only the actual budget year for 2008 is to be shown)</v>
      </c>
      <c r="G2" s="50"/>
      <c r="H2" s="50"/>
      <c r="I2" s="50"/>
      <c r="J2" s="50"/>
      <c r="K2" s="50"/>
    </row>
    <row r="3" spans="1:11" ht="15.75">
      <c r="A3" s="50" t="s">
        <v>374</v>
      </c>
      <c r="B3" s="50"/>
      <c r="C3" s="50"/>
      <c r="D3" s="50"/>
      <c r="E3" s="50"/>
      <c r="F3" s="154"/>
      <c r="G3" s="50"/>
      <c r="H3" s="50"/>
      <c r="I3" s="50"/>
      <c r="J3" s="50"/>
      <c r="K3" s="50"/>
    </row>
    <row r="4" spans="1:11" ht="15.75">
      <c r="A4" s="50" t="s">
        <v>321</v>
      </c>
      <c r="B4" s="50"/>
      <c r="C4" s="50" t="s">
        <v>322</v>
      </c>
      <c r="D4" s="50"/>
      <c r="E4" s="50" t="s">
        <v>323</v>
      </c>
      <c r="F4" s="154"/>
      <c r="G4" s="50" t="s">
        <v>324</v>
      </c>
      <c r="H4" s="50"/>
      <c r="I4" s="50" t="s">
        <v>325</v>
      </c>
      <c r="J4" s="50"/>
      <c r="K4" s="50"/>
    </row>
    <row r="5" spans="1:11" ht="15.75">
      <c r="A5" s="502" t="str">
        <f>IF(inputPrYr!B57&gt;" ",(inputPrYr!B57)," ")</f>
        <v>Grant Projects</v>
      </c>
      <c r="B5" s="503"/>
      <c r="C5" s="502" t="str">
        <f>IF(inputPrYr!B58&gt;" ",(inputPrYr!B58)," ")</f>
        <v>Sewer CIP/CEF Reserves</v>
      </c>
      <c r="D5" s="503"/>
      <c r="E5" s="502" t="str">
        <f>IF(inputPrYr!B59&gt;" ",(inputPrYr!B59)," ")</f>
        <v>Sewer Bond Reserve Fd</v>
      </c>
      <c r="F5" s="503"/>
      <c r="G5" s="502" t="str">
        <f>IF(inputPrYr!B60&gt;" ",(inputPrYr!B60)," ")</f>
        <v>Sewer Deprec Reserve Fd</v>
      </c>
      <c r="H5" s="503"/>
      <c r="I5" s="502" t="str">
        <f>IF(inputPrYr!B61&gt;" ",(inputPrYr!B61)," ")</f>
        <v>Sewer Surplus Reserve Fd</v>
      </c>
      <c r="J5" s="503"/>
      <c r="K5" s="155"/>
    </row>
    <row r="6" spans="1:11" ht="15.75">
      <c r="A6" s="156" t="s">
        <v>326</v>
      </c>
      <c r="B6" s="157"/>
      <c r="C6" s="158" t="s">
        <v>326</v>
      </c>
      <c r="D6" s="159"/>
      <c r="E6" s="158" t="s">
        <v>326</v>
      </c>
      <c r="F6" s="160"/>
      <c r="G6" s="158" t="s">
        <v>326</v>
      </c>
      <c r="H6" s="161"/>
      <c r="I6" s="158" t="s">
        <v>326</v>
      </c>
      <c r="J6" s="50"/>
      <c r="K6" s="162" t="s">
        <v>127</v>
      </c>
    </row>
    <row r="7" spans="1:11" ht="15.75">
      <c r="A7" s="163" t="s">
        <v>48</v>
      </c>
      <c r="B7" s="278">
        <v>690</v>
      </c>
      <c r="C7" s="164" t="s">
        <v>48</v>
      </c>
      <c r="D7" s="278">
        <v>12850</v>
      </c>
      <c r="E7" s="164" t="s">
        <v>48</v>
      </c>
      <c r="F7" s="278">
        <v>210491</v>
      </c>
      <c r="G7" s="164" t="s">
        <v>48</v>
      </c>
      <c r="H7" s="278">
        <v>50000</v>
      </c>
      <c r="I7" s="164" t="s">
        <v>48</v>
      </c>
      <c r="J7" s="278">
        <v>1155037</v>
      </c>
      <c r="K7" s="264">
        <f>SUM(B7+D7+F7+H7+J7)</f>
        <v>1429068</v>
      </c>
    </row>
    <row r="8" spans="1:11" ht="15.75">
      <c r="A8" s="165" t="s">
        <v>291</v>
      </c>
      <c r="B8" s="166"/>
      <c r="C8" s="165" t="s">
        <v>291</v>
      </c>
      <c r="D8" s="167"/>
      <c r="E8" s="165" t="s">
        <v>291</v>
      </c>
      <c r="F8" s="154"/>
      <c r="G8" s="165" t="s">
        <v>291</v>
      </c>
      <c r="H8" s="50"/>
      <c r="I8" s="165" t="s">
        <v>291</v>
      </c>
      <c r="J8" s="50"/>
      <c r="K8" s="154"/>
    </row>
    <row r="9" spans="1:11" ht="15.75">
      <c r="A9" s="277" t="s">
        <v>674</v>
      </c>
      <c r="B9" s="278">
        <v>1030</v>
      </c>
      <c r="C9" s="277" t="s">
        <v>677</v>
      </c>
      <c r="D9" s="278">
        <v>5000</v>
      </c>
      <c r="E9" s="277" t="s">
        <v>679</v>
      </c>
      <c r="F9" s="278"/>
      <c r="G9" s="277"/>
      <c r="H9" s="278"/>
      <c r="I9" s="277" t="s">
        <v>680</v>
      </c>
      <c r="J9" s="278"/>
      <c r="K9" s="154"/>
    </row>
    <row r="10" spans="1:11" ht="15.75">
      <c r="A10" s="277"/>
      <c r="B10" s="278"/>
      <c r="C10" s="277"/>
      <c r="D10" s="278"/>
      <c r="E10" s="277"/>
      <c r="F10" s="278"/>
      <c r="G10" s="277"/>
      <c r="H10" s="278"/>
      <c r="I10" s="277" t="s">
        <v>681</v>
      </c>
      <c r="J10" s="278">
        <v>42946</v>
      </c>
      <c r="K10" s="154"/>
    </row>
    <row r="11" spans="1:11" ht="15.75">
      <c r="A11" s="277"/>
      <c r="B11" s="278"/>
      <c r="C11" s="277" t="s">
        <v>778</v>
      </c>
      <c r="D11" s="278"/>
      <c r="E11" s="279"/>
      <c r="F11" s="278"/>
      <c r="G11" s="279"/>
      <c r="H11" s="278"/>
      <c r="I11" s="280" t="s">
        <v>764</v>
      </c>
      <c r="J11" s="278">
        <v>57790</v>
      </c>
      <c r="K11" s="154"/>
    </row>
    <row r="12" spans="1:11" ht="15.75">
      <c r="A12" s="277"/>
      <c r="B12" s="278"/>
      <c r="C12" s="277" t="s">
        <v>777</v>
      </c>
      <c r="D12" s="278"/>
      <c r="E12" s="281"/>
      <c r="F12" s="278"/>
      <c r="G12" s="281"/>
      <c r="H12" s="278"/>
      <c r="I12" s="281"/>
      <c r="J12" s="278"/>
      <c r="K12" s="154"/>
    </row>
    <row r="13" spans="1:11" ht="15.75">
      <c r="A13" s="282"/>
      <c r="B13" s="278"/>
      <c r="C13" s="283"/>
      <c r="D13" s="278"/>
      <c r="E13" s="283"/>
      <c r="F13" s="278"/>
      <c r="G13" s="283"/>
      <c r="H13" s="278"/>
      <c r="I13" s="280"/>
      <c r="J13" s="278"/>
      <c r="K13" s="154"/>
    </row>
    <row r="14" spans="1:11" ht="15.75">
      <c r="A14" s="277"/>
      <c r="B14" s="278"/>
      <c r="C14" s="281"/>
      <c r="D14" s="278"/>
      <c r="E14" s="281"/>
      <c r="F14" s="278"/>
      <c r="G14" s="281"/>
      <c r="H14" s="278"/>
      <c r="I14" s="281" t="s">
        <v>734</v>
      </c>
      <c r="J14" s="278">
        <v>1658</v>
      </c>
      <c r="K14" s="154"/>
    </row>
    <row r="15" spans="1:11" ht="15.75">
      <c r="A15" s="277"/>
      <c r="B15" s="278"/>
      <c r="C15" s="281"/>
      <c r="D15" s="278"/>
      <c r="E15" s="281"/>
      <c r="F15" s="278"/>
      <c r="G15" s="281"/>
      <c r="H15" s="278"/>
      <c r="I15" s="281"/>
      <c r="J15" s="278"/>
      <c r="K15" s="154"/>
    </row>
    <row r="16" spans="1:11" ht="15.75">
      <c r="A16" s="277"/>
      <c r="B16" s="278"/>
      <c r="C16" s="277"/>
      <c r="D16" s="278"/>
      <c r="E16" s="277"/>
      <c r="F16" s="278"/>
      <c r="G16" s="281"/>
      <c r="H16" s="278"/>
      <c r="I16" s="277"/>
      <c r="J16" s="278"/>
      <c r="K16" s="154"/>
    </row>
    <row r="17" spans="1:11" ht="15.75">
      <c r="A17" s="165" t="s">
        <v>165</v>
      </c>
      <c r="B17" s="264">
        <f>SUM(B9:B16)</f>
        <v>1030</v>
      </c>
      <c r="C17" s="165" t="s">
        <v>165</v>
      </c>
      <c r="D17" s="265">
        <f>SUM(D9:D16)</f>
        <v>5000</v>
      </c>
      <c r="E17" s="165" t="s">
        <v>165</v>
      </c>
      <c r="F17" s="266">
        <f>SUM(F9:F16)</f>
        <v>0</v>
      </c>
      <c r="G17" s="165" t="s">
        <v>165</v>
      </c>
      <c r="H17" s="265">
        <f>SUM(H9:H16)</f>
        <v>0</v>
      </c>
      <c r="I17" s="165" t="s">
        <v>165</v>
      </c>
      <c r="J17" s="265">
        <f>SUM(J9:J16)</f>
        <v>102394</v>
      </c>
      <c r="K17" s="264">
        <f>SUM(B17+D17+F17+H17+J17)</f>
        <v>108424</v>
      </c>
    </row>
    <row r="18" spans="1:11" ht="15.75">
      <c r="A18" s="165" t="s">
        <v>166</v>
      </c>
      <c r="B18" s="264">
        <f>SUM(B7+B17)</f>
        <v>1720</v>
      </c>
      <c r="C18" s="165" t="s">
        <v>166</v>
      </c>
      <c r="D18" s="264">
        <f>SUM(D7+D17)</f>
        <v>17850</v>
      </c>
      <c r="E18" s="165" t="s">
        <v>166</v>
      </c>
      <c r="F18" s="264">
        <f>SUM(F7+F17)</f>
        <v>210491</v>
      </c>
      <c r="G18" s="165" t="s">
        <v>166</v>
      </c>
      <c r="H18" s="264">
        <f>SUM(H7+H17)</f>
        <v>50000</v>
      </c>
      <c r="I18" s="165" t="s">
        <v>166</v>
      </c>
      <c r="J18" s="264">
        <f>SUM(J7+J17)</f>
        <v>1257431</v>
      </c>
      <c r="K18" s="264">
        <f>SUM(B18+D18+F18+H18+J18)</f>
        <v>1537492</v>
      </c>
    </row>
    <row r="19" spans="1:11" ht="15.75">
      <c r="A19" s="165" t="s">
        <v>168</v>
      </c>
      <c r="B19" s="166"/>
      <c r="C19" s="165" t="s">
        <v>168</v>
      </c>
      <c r="D19" s="167"/>
      <c r="E19" s="165" t="s">
        <v>168</v>
      </c>
      <c r="F19" s="154"/>
      <c r="G19" s="165" t="s">
        <v>168</v>
      </c>
      <c r="H19" s="50"/>
      <c r="I19" s="165" t="s">
        <v>168</v>
      </c>
      <c r="J19" s="50"/>
      <c r="K19" s="154"/>
    </row>
    <row r="20" spans="1:11" ht="15.75">
      <c r="A20" s="277" t="s">
        <v>675</v>
      </c>
      <c r="B20" s="278">
        <v>0</v>
      </c>
      <c r="C20" s="281" t="s">
        <v>678</v>
      </c>
      <c r="D20" s="278"/>
      <c r="E20" s="281"/>
      <c r="F20" s="278"/>
      <c r="G20" s="281"/>
      <c r="H20" s="278"/>
      <c r="I20" s="281" t="s">
        <v>593</v>
      </c>
      <c r="J20" s="278">
        <v>31375</v>
      </c>
      <c r="K20" s="154"/>
    </row>
    <row r="21" spans="1:11" ht="15.75">
      <c r="A21" s="277" t="s">
        <v>676</v>
      </c>
      <c r="B21" s="278">
        <v>840</v>
      </c>
      <c r="C21" s="281"/>
      <c r="D21" s="278"/>
      <c r="E21" s="281"/>
      <c r="F21" s="278"/>
      <c r="G21" s="281"/>
      <c r="H21" s="278"/>
      <c r="I21" s="281" t="s">
        <v>595</v>
      </c>
      <c r="J21" s="278">
        <v>680</v>
      </c>
      <c r="K21" s="154"/>
    </row>
    <row r="22" spans="1:11" ht="15.75">
      <c r="A22" s="277"/>
      <c r="B22" s="278"/>
      <c r="C22" s="283"/>
      <c r="D22" s="278"/>
      <c r="E22" s="283"/>
      <c r="F22" s="278"/>
      <c r="G22" s="283"/>
      <c r="H22" s="278"/>
      <c r="I22" s="280" t="s">
        <v>745</v>
      </c>
      <c r="J22" s="278">
        <v>67928</v>
      </c>
      <c r="K22" s="154"/>
    </row>
    <row r="23" spans="1:11" ht="15.75">
      <c r="A23" s="277"/>
      <c r="B23" s="278"/>
      <c r="C23" s="281"/>
      <c r="D23" s="278"/>
      <c r="E23" s="281"/>
      <c r="F23" s="278"/>
      <c r="G23" s="281"/>
      <c r="H23" s="278"/>
      <c r="I23" s="281"/>
      <c r="J23" s="278"/>
      <c r="K23" s="154"/>
    </row>
    <row r="24" spans="1:11" ht="15.75">
      <c r="A24" s="277"/>
      <c r="B24" s="278"/>
      <c r="C24" s="283"/>
      <c r="D24" s="278"/>
      <c r="E24" s="283"/>
      <c r="F24" s="278"/>
      <c r="G24" s="283"/>
      <c r="H24" s="278"/>
      <c r="I24" s="281" t="s">
        <v>746</v>
      </c>
      <c r="J24" s="278">
        <v>10000</v>
      </c>
      <c r="K24" s="154"/>
    </row>
    <row r="25" spans="1:11" ht="15.75">
      <c r="A25" s="277"/>
      <c r="B25" s="278"/>
      <c r="C25" s="281"/>
      <c r="D25" s="278"/>
      <c r="E25" s="281"/>
      <c r="F25" s="278"/>
      <c r="G25" s="281"/>
      <c r="H25" s="278"/>
      <c r="I25" s="277" t="s">
        <v>788</v>
      </c>
      <c r="J25" s="278"/>
      <c r="K25" s="154"/>
    </row>
    <row r="26" spans="1:11" ht="15.75">
      <c r="A26" s="277"/>
      <c r="B26" s="278"/>
      <c r="C26" s="281"/>
      <c r="D26" s="278"/>
      <c r="E26" s="281"/>
      <c r="F26" s="278"/>
      <c r="G26" s="281"/>
      <c r="H26" s="278"/>
      <c r="I26" s="277" t="s">
        <v>787</v>
      </c>
      <c r="J26" s="278"/>
      <c r="K26" s="154"/>
    </row>
    <row r="27" spans="1:11" ht="15.75">
      <c r="A27" s="277"/>
      <c r="B27" s="278"/>
      <c r="C27" s="277"/>
      <c r="D27" s="278"/>
      <c r="E27" s="277"/>
      <c r="F27" s="278"/>
      <c r="G27" s="281"/>
      <c r="H27" s="278"/>
      <c r="I27" s="281"/>
      <c r="J27" s="278"/>
      <c r="K27" s="154"/>
    </row>
    <row r="28" spans="1:11" ht="15.75">
      <c r="A28" s="165" t="s">
        <v>172</v>
      </c>
      <c r="B28" s="264">
        <f>SUM(B20:B27)</f>
        <v>840</v>
      </c>
      <c r="C28" s="165" t="s">
        <v>172</v>
      </c>
      <c r="D28" s="265">
        <f>SUM(D20:D27)</f>
        <v>0</v>
      </c>
      <c r="E28" s="165" t="s">
        <v>172</v>
      </c>
      <c r="F28" s="266">
        <f>SUM(F20:F27)</f>
        <v>0</v>
      </c>
      <c r="G28" s="165" t="s">
        <v>172</v>
      </c>
      <c r="H28" s="266">
        <f>SUM(H20:H27)</f>
        <v>0</v>
      </c>
      <c r="I28" s="165" t="s">
        <v>172</v>
      </c>
      <c r="J28" s="265">
        <f>SUM(J20:J27)</f>
        <v>109983</v>
      </c>
      <c r="K28" s="264">
        <f>SUM(B28+D28+F28+H28+J28)</f>
        <v>110823</v>
      </c>
    </row>
    <row r="29" spans="1:12" ht="15.75">
      <c r="A29" s="165" t="s">
        <v>327</v>
      </c>
      <c r="B29" s="264">
        <f>SUM(B18-B28)</f>
        <v>880</v>
      </c>
      <c r="C29" s="165" t="s">
        <v>327</v>
      </c>
      <c r="D29" s="264">
        <f>SUM(D18-D28)</f>
        <v>17850</v>
      </c>
      <c r="E29" s="165" t="s">
        <v>327</v>
      </c>
      <c r="F29" s="264">
        <f>SUM(F18-F28)</f>
        <v>210491</v>
      </c>
      <c r="G29" s="165" t="s">
        <v>327</v>
      </c>
      <c r="H29" s="264">
        <f>SUM(H18-H28)</f>
        <v>50000</v>
      </c>
      <c r="I29" s="165" t="s">
        <v>327</v>
      </c>
      <c r="J29" s="264">
        <f>SUM(J18-J28)</f>
        <v>1147448</v>
      </c>
      <c r="K29" s="267">
        <f>SUM(B29+D29+F29+H29+J29)</f>
        <v>1426669</v>
      </c>
      <c r="L29" s="2" t="s">
        <v>417</v>
      </c>
    </row>
    <row r="30" spans="1:12" ht="15.75">
      <c r="A30" s="165"/>
      <c r="B30" s="363">
        <f>IF(B29&lt;0,"Neg Bal","")</f>
      </c>
      <c r="C30" s="165"/>
      <c r="D30" s="363">
        <f>IF(D29&lt;0,"Neg Bal","")</f>
      </c>
      <c r="E30" s="165"/>
      <c r="F30" s="363">
        <f>IF(F29&lt;0,"Neg Bal","")</f>
      </c>
      <c r="G30" s="50"/>
      <c r="H30" s="363">
        <f>IF(H29&lt;0,"Neg Bal","")</f>
      </c>
      <c r="I30" s="50"/>
      <c r="J30" s="363">
        <f>IF(J29&lt;0,"Neg Bal","")</f>
      </c>
      <c r="K30" s="267">
        <f>SUM(K7+K17-K28)</f>
        <v>1426669</v>
      </c>
      <c r="L30" s="2" t="s">
        <v>417</v>
      </c>
    </row>
    <row r="31" spans="1:11" ht="15.75">
      <c r="A31" s="50"/>
      <c r="B31" s="55"/>
      <c r="C31" s="50"/>
      <c r="D31" s="154"/>
      <c r="E31" s="50"/>
      <c r="F31" s="50"/>
      <c r="G31" s="354" t="s">
        <v>419</v>
      </c>
      <c r="H31" s="354"/>
      <c r="I31" s="354"/>
      <c r="J31" s="354"/>
      <c r="K31" s="50"/>
    </row>
    <row r="32" spans="1:11" ht="15.75">
      <c r="A32" s="50"/>
      <c r="B32" s="55"/>
      <c r="C32" s="50"/>
      <c r="D32" s="50"/>
      <c r="E32" s="50"/>
      <c r="F32" s="50"/>
      <c r="G32" s="50"/>
      <c r="H32" s="50"/>
      <c r="I32" s="50"/>
      <c r="J32" s="50"/>
      <c r="K32" s="50"/>
    </row>
    <row r="33" spans="1:11" ht="15.75">
      <c r="A33" s="50"/>
      <c r="B33" s="55"/>
      <c r="C33" s="50"/>
      <c r="D33" s="50"/>
      <c r="E33" s="63" t="s">
        <v>175</v>
      </c>
      <c r="F33" s="100">
        <v>20</v>
      </c>
      <c r="G33" s="50"/>
      <c r="H33" s="50"/>
      <c r="I33" s="50"/>
      <c r="J33" s="50"/>
      <c r="K33" s="50"/>
    </row>
    <row r="34" ht="15.75">
      <c r="B34" s="168"/>
    </row>
    <row r="35" ht="15.75">
      <c r="B35" s="168"/>
    </row>
    <row r="36" ht="15.75">
      <c r="B36" s="168"/>
    </row>
    <row r="37" ht="15.75">
      <c r="B37" s="168"/>
    </row>
    <row r="38" ht="15.75">
      <c r="B38" s="168"/>
    </row>
    <row r="39" ht="15.75">
      <c r="B39" s="168"/>
    </row>
    <row r="40" ht="15.75">
      <c r="B40" s="168"/>
    </row>
    <row r="41" ht="15.75">
      <c r="B41" s="168"/>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oddFooter>&amp;Lrevised 7/01/08</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7">
      <selection activeCell="G26" sqref="G26"/>
    </sheetView>
  </sheetViews>
  <sheetFormatPr defaultColWidth="8.796875" defaultRowHeight="15"/>
  <cols>
    <col min="1" max="1" width="11.59765625" style="2" customWidth="1"/>
    <col min="2" max="2" width="7.3984375" style="2" customWidth="1"/>
    <col min="3" max="3" width="11.59765625" style="2" customWidth="1"/>
    <col min="4" max="4" width="7.3984375" style="2" customWidth="1"/>
    <col min="5" max="5" width="11.59765625" style="2" customWidth="1"/>
    <col min="6" max="6" width="7.3984375" style="2" customWidth="1"/>
    <col min="7" max="7" width="11.59765625" style="2" customWidth="1"/>
    <col min="8" max="8" width="7.3984375" style="2" customWidth="1"/>
    <col min="9" max="9" width="11.59765625" style="2" customWidth="1"/>
    <col min="10" max="16384" width="8.8984375" style="2" customWidth="1"/>
  </cols>
  <sheetData>
    <row r="1" spans="1:11" ht="15.75">
      <c r="A1" s="51" t="str">
        <f>inputPrYr!$D$2</f>
        <v>CITY OF PARK CITY</v>
      </c>
      <c r="B1" s="154"/>
      <c r="C1" s="50"/>
      <c r="D1" s="50"/>
      <c r="E1" s="50"/>
      <c r="F1" s="52" t="s">
        <v>329</v>
      </c>
      <c r="G1" s="50"/>
      <c r="H1" s="50"/>
      <c r="I1" s="50"/>
      <c r="J1" s="50"/>
      <c r="K1" s="50">
        <f>inputPrYr!$C$5</f>
        <v>2010</v>
      </c>
    </row>
    <row r="2" spans="1:11" ht="15.75">
      <c r="A2" s="50"/>
      <c r="B2" s="50"/>
      <c r="C2" s="50"/>
      <c r="D2" s="50"/>
      <c r="E2" s="50"/>
      <c r="F2" s="360" t="str">
        <f>CONCATENATE("(Only the actual budget year for ",K1-2," is to be shown)")</f>
        <v>(Only the actual budget year for 2008 is to be shown)</v>
      </c>
      <c r="G2" s="50"/>
      <c r="H2" s="50"/>
      <c r="I2" s="50"/>
      <c r="J2" s="50"/>
      <c r="K2" s="50"/>
    </row>
    <row r="3" spans="1:11" ht="15.75">
      <c r="A3" s="50" t="s">
        <v>372</v>
      </c>
      <c r="B3" s="50"/>
      <c r="C3" s="50"/>
      <c r="D3" s="50"/>
      <c r="E3" s="50"/>
      <c r="F3" s="154"/>
      <c r="G3" s="50"/>
      <c r="H3" s="50"/>
      <c r="I3" s="50"/>
      <c r="J3" s="50"/>
      <c r="K3" s="50"/>
    </row>
    <row r="4" spans="1:11" ht="15.75">
      <c r="A4" s="50" t="s">
        <v>321</v>
      </c>
      <c r="B4" s="50"/>
      <c r="C4" s="50" t="s">
        <v>322</v>
      </c>
      <c r="D4" s="50"/>
      <c r="E4" s="50" t="s">
        <v>323</v>
      </c>
      <c r="F4" s="154"/>
      <c r="G4" s="50" t="s">
        <v>324</v>
      </c>
      <c r="H4" s="50"/>
      <c r="I4" s="50" t="s">
        <v>325</v>
      </c>
      <c r="J4" s="50"/>
      <c r="K4" s="50"/>
    </row>
    <row r="5" spans="1:11" ht="15.75">
      <c r="A5" s="502" t="str">
        <f>IF(inputPrYr!B63&gt;" ",(inputPrYr!B63)," ")</f>
        <v>Water CIP/CEF Res Fd</v>
      </c>
      <c r="B5" s="503"/>
      <c r="C5" s="502" t="str">
        <f>IF(inputPrYr!B64&gt;" ",(inputPrYr!B64)," ")</f>
        <v>Water Bond Reserve Fd</v>
      </c>
      <c r="D5" s="503"/>
      <c r="E5" s="502" t="str">
        <f>IF(inputPrYr!B65&gt;" ",(inputPrYr!B65)," ")</f>
        <v>Water Deprec Reserve Fd</v>
      </c>
      <c r="F5" s="503"/>
      <c r="G5" s="502" t="str">
        <f>IF(inputPrYr!B66&gt;" ",(inputPrYr!B66)," ")</f>
        <v>Water Surplus Reserve Fd</v>
      </c>
      <c r="H5" s="503"/>
      <c r="I5" s="502" t="str">
        <f>IF(inputPrYr!B67&gt;" ",(inputPrYr!B67)," ")</f>
        <v>Special Bridge Construction</v>
      </c>
      <c r="J5" s="503"/>
      <c r="K5" s="155"/>
    </row>
    <row r="6" spans="1:11" ht="15.75">
      <c r="A6" s="156" t="s">
        <v>326</v>
      </c>
      <c r="B6" s="157"/>
      <c r="C6" s="158" t="s">
        <v>326</v>
      </c>
      <c r="D6" s="159"/>
      <c r="E6" s="158" t="s">
        <v>326</v>
      </c>
      <c r="F6" s="160"/>
      <c r="G6" s="158" t="s">
        <v>326</v>
      </c>
      <c r="H6" s="161"/>
      <c r="I6" s="158" t="s">
        <v>326</v>
      </c>
      <c r="J6" s="50"/>
      <c r="K6" s="162" t="s">
        <v>127</v>
      </c>
    </row>
    <row r="7" spans="1:11" ht="15.75">
      <c r="A7" s="163" t="s">
        <v>48</v>
      </c>
      <c r="B7" s="278">
        <v>8400</v>
      </c>
      <c r="C7" s="164" t="s">
        <v>48</v>
      </c>
      <c r="D7" s="278">
        <v>225316</v>
      </c>
      <c r="E7" s="164" t="s">
        <v>48</v>
      </c>
      <c r="F7" s="278">
        <v>50000</v>
      </c>
      <c r="G7" s="164" t="s">
        <v>48</v>
      </c>
      <c r="H7" s="278">
        <v>1074599</v>
      </c>
      <c r="I7" s="164" t="s">
        <v>48</v>
      </c>
      <c r="J7" s="278">
        <v>71552</v>
      </c>
      <c r="K7" s="264">
        <f>SUM(B7+D7+F7+H7+J7)</f>
        <v>1429867</v>
      </c>
    </row>
    <row r="8" spans="1:11" ht="15.75">
      <c r="A8" s="165" t="s">
        <v>291</v>
      </c>
      <c r="B8" s="166"/>
      <c r="C8" s="165" t="s">
        <v>291</v>
      </c>
      <c r="D8" s="167"/>
      <c r="E8" s="165" t="s">
        <v>291</v>
      </c>
      <c r="F8" s="154"/>
      <c r="G8" s="165" t="s">
        <v>291</v>
      </c>
      <c r="H8" s="50"/>
      <c r="I8" s="165" t="s">
        <v>291</v>
      </c>
      <c r="J8" s="50"/>
      <c r="K8" s="154"/>
    </row>
    <row r="9" spans="1:11" ht="15.75">
      <c r="A9" s="277" t="s">
        <v>747</v>
      </c>
      <c r="B9" s="278">
        <v>5000</v>
      </c>
      <c r="C9" s="277" t="s">
        <v>782</v>
      </c>
      <c r="D9" s="278">
        <v>12000</v>
      </c>
      <c r="E9" s="277"/>
      <c r="F9" s="278"/>
      <c r="G9" s="277" t="s">
        <v>747</v>
      </c>
      <c r="H9" s="278">
        <v>157393</v>
      </c>
      <c r="I9" s="277" t="s">
        <v>730</v>
      </c>
      <c r="J9" s="278">
        <v>3761</v>
      </c>
      <c r="K9" s="154"/>
    </row>
    <row r="10" spans="1:11" ht="15.75">
      <c r="A10" s="277"/>
      <c r="B10" s="278"/>
      <c r="C10" s="277"/>
      <c r="D10" s="278"/>
      <c r="E10" s="277"/>
      <c r="F10" s="278"/>
      <c r="G10" s="277"/>
      <c r="H10" s="278"/>
      <c r="I10" s="277"/>
      <c r="J10" s="278"/>
      <c r="K10" s="154"/>
    </row>
    <row r="11" spans="1:11" ht="15.75">
      <c r="A11" s="277" t="s">
        <v>776</v>
      </c>
      <c r="B11" s="278"/>
      <c r="C11" s="279"/>
      <c r="D11" s="278"/>
      <c r="E11" s="279"/>
      <c r="F11" s="278"/>
      <c r="G11" s="279"/>
      <c r="H11" s="278"/>
      <c r="I11" s="280" t="s">
        <v>761</v>
      </c>
      <c r="J11" s="278">
        <v>100</v>
      </c>
      <c r="K11" s="154"/>
    </row>
    <row r="12" spans="1:11" ht="15.75">
      <c r="A12" s="277" t="s">
        <v>777</v>
      </c>
      <c r="B12" s="278"/>
      <c r="C12" s="277"/>
      <c r="D12" s="278"/>
      <c r="E12" s="281"/>
      <c r="F12" s="278"/>
      <c r="G12" s="281"/>
      <c r="H12" s="278"/>
      <c r="I12" s="281"/>
      <c r="J12" s="278"/>
      <c r="K12" s="154"/>
    </row>
    <row r="13" spans="1:11" ht="15.75">
      <c r="A13" s="282"/>
      <c r="B13" s="278"/>
      <c r="C13" s="283"/>
      <c r="D13" s="278"/>
      <c r="E13" s="283"/>
      <c r="F13" s="278"/>
      <c r="G13" s="283"/>
      <c r="H13" s="278"/>
      <c r="I13" s="280"/>
      <c r="J13" s="278"/>
      <c r="K13" s="154"/>
    </row>
    <row r="14" spans="1:11" ht="15.75">
      <c r="A14" s="277"/>
      <c r="B14" s="278"/>
      <c r="C14" s="281"/>
      <c r="D14" s="278"/>
      <c r="E14" s="281"/>
      <c r="F14" s="278"/>
      <c r="G14" s="281" t="s">
        <v>734</v>
      </c>
      <c r="H14" s="278">
        <v>1882</v>
      </c>
      <c r="I14" s="281"/>
      <c r="J14" s="278"/>
      <c r="K14" s="154"/>
    </row>
    <row r="15" spans="1:11" ht="15.75">
      <c r="A15" s="277"/>
      <c r="B15" s="278"/>
      <c r="C15" s="281"/>
      <c r="D15" s="278"/>
      <c r="E15" s="281"/>
      <c r="F15" s="278"/>
      <c r="G15" s="281"/>
      <c r="H15" s="278"/>
      <c r="I15" s="281"/>
      <c r="J15" s="278"/>
      <c r="K15" s="154"/>
    </row>
    <row r="16" spans="1:11" ht="15.75">
      <c r="A16" s="277"/>
      <c r="B16" s="278"/>
      <c r="C16" s="277"/>
      <c r="D16" s="278"/>
      <c r="E16" s="277"/>
      <c r="F16" s="278"/>
      <c r="G16" s="281"/>
      <c r="H16" s="278"/>
      <c r="I16" s="277"/>
      <c r="J16" s="278"/>
      <c r="K16" s="154"/>
    </row>
    <row r="17" spans="1:11" ht="15.75">
      <c r="A17" s="165" t="s">
        <v>165</v>
      </c>
      <c r="B17" s="264">
        <f>SUM(B9:B16)</f>
        <v>5000</v>
      </c>
      <c r="C17" s="165" t="s">
        <v>165</v>
      </c>
      <c r="D17" s="265">
        <f>SUM(D9:D16)</f>
        <v>12000</v>
      </c>
      <c r="E17" s="165" t="s">
        <v>165</v>
      </c>
      <c r="F17" s="266">
        <f>SUM(F9:F16)</f>
        <v>0</v>
      </c>
      <c r="G17" s="165" t="s">
        <v>165</v>
      </c>
      <c r="H17" s="265">
        <f>SUM(H9:H16)</f>
        <v>159275</v>
      </c>
      <c r="I17" s="165" t="s">
        <v>165</v>
      </c>
      <c r="J17" s="265">
        <f>SUM(J9:J16)</f>
        <v>3861</v>
      </c>
      <c r="K17" s="264">
        <f>SUM(B17+D17+F17+H17+J17)</f>
        <v>180136</v>
      </c>
    </row>
    <row r="18" spans="1:11" ht="15.75">
      <c r="A18" s="165" t="s">
        <v>166</v>
      </c>
      <c r="B18" s="264">
        <f>SUM(B7+B17)</f>
        <v>13400</v>
      </c>
      <c r="C18" s="165" t="s">
        <v>166</v>
      </c>
      <c r="D18" s="264">
        <f>SUM(D7+D17)</f>
        <v>237316</v>
      </c>
      <c r="E18" s="165" t="s">
        <v>166</v>
      </c>
      <c r="F18" s="264">
        <f>SUM(F7+F17)</f>
        <v>50000</v>
      </c>
      <c r="G18" s="165" t="s">
        <v>166</v>
      </c>
      <c r="H18" s="264">
        <f>SUM(H7+H17)</f>
        <v>1233874</v>
      </c>
      <c r="I18" s="165" t="s">
        <v>166</v>
      </c>
      <c r="J18" s="264">
        <f>SUM(J7+J17)</f>
        <v>75413</v>
      </c>
      <c r="K18" s="264">
        <f>SUM(B18+D18+F18+H18+J18)</f>
        <v>1610003</v>
      </c>
    </row>
    <row r="19" spans="1:11" ht="15.75">
      <c r="A19" s="165" t="s">
        <v>168</v>
      </c>
      <c r="B19" s="166"/>
      <c r="C19" s="165" t="s">
        <v>168</v>
      </c>
      <c r="D19" s="167"/>
      <c r="E19" s="165" t="s">
        <v>168</v>
      </c>
      <c r="F19" s="154"/>
      <c r="G19" s="165" t="s">
        <v>168</v>
      </c>
      <c r="H19" s="50"/>
      <c r="I19" s="165" t="s">
        <v>168</v>
      </c>
      <c r="J19" s="50"/>
      <c r="K19" s="154"/>
    </row>
    <row r="20" spans="1:11" ht="15.75">
      <c r="A20" s="277"/>
      <c r="B20" s="278"/>
      <c r="C20" s="281"/>
      <c r="D20" s="278"/>
      <c r="E20" s="281"/>
      <c r="F20" s="278"/>
      <c r="G20" s="281" t="s">
        <v>781</v>
      </c>
      <c r="H20" s="278">
        <v>12000</v>
      </c>
      <c r="I20" s="281" t="s">
        <v>595</v>
      </c>
      <c r="J20" s="278"/>
      <c r="K20" s="154"/>
    </row>
    <row r="21" spans="1:11" ht="15.75">
      <c r="A21" s="277"/>
      <c r="B21" s="278"/>
      <c r="C21" s="281"/>
      <c r="D21" s="278"/>
      <c r="E21" s="281"/>
      <c r="F21" s="278"/>
      <c r="G21" s="281" t="s">
        <v>780</v>
      </c>
      <c r="H21" s="278">
        <v>107688</v>
      </c>
      <c r="I21" s="281"/>
      <c r="J21" s="278"/>
      <c r="K21" s="154"/>
    </row>
    <row r="22" spans="1:11" ht="15.75">
      <c r="A22" s="277"/>
      <c r="B22" s="278"/>
      <c r="C22" s="283"/>
      <c r="D22" s="278"/>
      <c r="E22" s="283"/>
      <c r="F22" s="278"/>
      <c r="G22" s="283" t="s">
        <v>748</v>
      </c>
      <c r="H22" s="278">
        <v>55259</v>
      </c>
      <c r="I22" s="280"/>
      <c r="J22" s="278"/>
      <c r="K22" s="154"/>
    </row>
    <row r="23" spans="1:11" ht="15.75">
      <c r="A23" s="277"/>
      <c r="B23" s="278"/>
      <c r="C23" s="281"/>
      <c r="D23" s="278"/>
      <c r="E23" s="281"/>
      <c r="F23" s="278"/>
      <c r="G23" s="281" t="s">
        <v>595</v>
      </c>
      <c r="H23" s="278">
        <v>32067</v>
      </c>
      <c r="I23" s="281"/>
      <c r="J23" s="278"/>
      <c r="K23" s="154"/>
    </row>
    <row r="24" spans="1:11" ht="15.75">
      <c r="A24" s="277"/>
      <c r="B24" s="278"/>
      <c r="C24" s="283"/>
      <c r="D24" s="278"/>
      <c r="E24" s="283"/>
      <c r="F24" s="278"/>
      <c r="G24" s="283"/>
      <c r="H24" s="278"/>
      <c r="I24" s="280"/>
      <c r="J24" s="278"/>
      <c r="K24" s="154"/>
    </row>
    <row r="25" spans="1:11" ht="15.75">
      <c r="A25" s="277"/>
      <c r="B25" s="278"/>
      <c r="C25" s="281"/>
      <c r="D25" s="278"/>
      <c r="E25" s="281"/>
      <c r="F25" s="278"/>
      <c r="G25" s="277" t="s">
        <v>791</v>
      </c>
      <c r="H25" s="278"/>
      <c r="I25" s="281"/>
      <c r="J25" s="278"/>
      <c r="K25" s="154"/>
    </row>
    <row r="26" spans="1:11" ht="15.75">
      <c r="A26" s="277"/>
      <c r="B26" s="278"/>
      <c r="C26" s="281"/>
      <c r="D26" s="278"/>
      <c r="E26" s="281"/>
      <c r="F26" s="278"/>
      <c r="G26" s="277" t="s">
        <v>789</v>
      </c>
      <c r="H26" s="278"/>
      <c r="I26" s="281" t="s">
        <v>26</v>
      </c>
      <c r="J26" s="278">
        <v>1764</v>
      </c>
      <c r="K26" s="154"/>
    </row>
    <row r="27" spans="1:11" ht="15.75">
      <c r="A27" s="277"/>
      <c r="B27" s="278"/>
      <c r="C27" s="277"/>
      <c r="D27" s="278"/>
      <c r="E27" s="277"/>
      <c r="F27" s="278"/>
      <c r="G27" s="281" t="s">
        <v>790</v>
      </c>
      <c r="H27" s="278"/>
      <c r="I27" s="281"/>
      <c r="J27" s="278"/>
      <c r="K27" s="154"/>
    </row>
    <row r="28" spans="1:11" ht="15.75">
      <c r="A28" s="165" t="s">
        <v>172</v>
      </c>
      <c r="B28" s="264">
        <f>SUM(B20:B27)</f>
        <v>0</v>
      </c>
      <c r="C28" s="165" t="s">
        <v>172</v>
      </c>
      <c r="D28" s="265">
        <f>SUM(D20:D27)</f>
        <v>0</v>
      </c>
      <c r="E28" s="165" t="s">
        <v>172</v>
      </c>
      <c r="F28" s="266">
        <f>SUM(F20:F27)</f>
        <v>0</v>
      </c>
      <c r="G28" s="165" t="s">
        <v>172</v>
      </c>
      <c r="H28" s="266">
        <f>SUM(H20:H27)</f>
        <v>207014</v>
      </c>
      <c r="I28" s="165" t="s">
        <v>172</v>
      </c>
      <c r="J28" s="265">
        <f>SUM(J20:J27)</f>
        <v>1764</v>
      </c>
      <c r="K28" s="264">
        <f>SUM(B28+D28+F28+H28+J28)</f>
        <v>208778</v>
      </c>
    </row>
    <row r="29" spans="1:12" ht="15.75">
      <c r="A29" s="165" t="s">
        <v>327</v>
      </c>
      <c r="B29" s="264">
        <f>SUM(B18-B28)</f>
        <v>13400</v>
      </c>
      <c r="C29" s="165" t="s">
        <v>327</v>
      </c>
      <c r="D29" s="264">
        <f>SUM(D18-D28)</f>
        <v>237316</v>
      </c>
      <c r="E29" s="165" t="s">
        <v>327</v>
      </c>
      <c r="F29" s="264">
        <f>SUM(F18-F28)</f>
        <v>50000</v>
      </c>
      <c r="G29" s="165" t="s">
        <v>327</v>
      </c>
      <c r="H29" s="264">
        <f>SUM(H18-H28)</f>
        <v>1026860</v>
      </c>
      <c r="I29" s="165" t="s">
        <v>327</v>
      </c>
      <c r="J29" s="264">
        <f>SUM(J18-J28)</f>
        <v>73649</v>
      </c>
      <c r="K29" s="267">
        <f>SUM(B29+D29+F29+H29+J29)</f>
        <v>1401225</v>
      </c>
      <c r="L29" s="2" t="s">
        <v>417</v>
      </c>
    </row>
    <row r="30" spans="1:12" ht="15.75">
      <c r="A30" s="165"/>
      <c r="B30" s="363">
        <f>IF(B29&lt;0,"Neg Bal","")</f>
      </c>
      <c r="C30" s="165"/>
      <c r="D30" s="363">
        <f>IF(D29&lt;0,"Neg Bal","")</f>
      </c>
      <c r="E30" s="165"/>
      <c r="F30" s="363">
        <f>IF(F29&lt;0,"Neg Bal","")</f>
      </c>
      <c r="G30" s="50"/>
      <c r="H30" s="363">
        <f>IF(H29&lt;0,"Neg Bal","")</f>
      </c>
      <c r="I30" s="50"/>
      <c r="J30" s="363">
        <f>IF(J29&lt;0,"Neg Bal","")</f>
      </c>
      <c r="K30" s="267">
        <f>SUM(K7+K17-K28)</f>
        <v>1401225</v>
      </c>
      <c r="L30" s="2" t="s">
        <v>417</v>
      </c>
    </row>
    <row r="31" spans="1:11" ht="15.75">
      <c r="A31" s="50"/>
      <c r="B31" s="55"/>
      <c r="C31" s="50"/>
      <c r="D31" s="154"/>
      <c r="E31" s="50"/>
      <c r="F31" s="50"/>
      <c r="G31" s="354" t="s">
        <v>419</v>
      </c>
      <c r="H31" s="354"/>
      <c r="I31" s="354"/>
      <c r="J31" s="354"/>
      <c r="K31" s="50"/>
    </row>
    <row r="32" spans="1:11" ht="15.75">
      <c r="A32" s="50"/>
      <c r="B32" s="55"/>
      <c r="C32" s="50"/>
      <c r="D32" s="50"/>
      <c r="E32" s="50"/>
      <c r="F32" s="50"/>
      <c r="G32" s="268"/>
      <c r="H32" s="50"/>
      <c r="I32" s="50"/>
      <c r="J32" s="50"/>
      <c r="K32" s="50"/>
    </row>
    <row r="33" spans="1:11" ht="15.75">
      <c r="A33" s="50"/>
      <c r="B33" s="55"/>
      <c r="C33" s="50"/>
      <c r="D33" s="50"/>
      <c r="E33" s="63" t="s">
        <v>175</v>
      </c>
      <c r="F33" s="100">
        <v>21</v>
      </c>
      <c r="G33" s="50"/>
      <c r="H33" s="50"/>
      <c r="I33" s="50"/>
      <c r="J33" s="50"/>
      <c r="K33" s="50"/>
    </row>
    <row r="34" ht="15.75">
      <c r="B34" s="168"/>
    </row>
    <row r="35" ht="15.75">
      <c r="B35" s="168"/>
    </row>
    <row r="36" ht="15.75">
      <c r="B36" s="168"/>
    </row>
    <row r="37" ht="15.75">
      <c r="B37" s="168"/>
    </row>
    <row r="38" ht="15.75">
      <c r="B38" s="168"/>
    </row>
    <row r="39" ht="15.75">
      <c r="B39" s="168"/>
    </row>
    <row r="40" ht="15.75">
      <c r="B40" s="168"/>
    </row>
    <row r="41" ht="15.75">
      <c r="B41" s="168"/>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oddFooter>&amp;Lrevised 7/01/08</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3">
      <selection activeCell="E29" sqref="E29"/>
    </sheetView>
  </sheetViews>
  <sheetFormatPr defaultColWidth="8.796875" defaultRowHeight="15"/>
  <cols>
    <col min="1" max="1" width="11.59765625" style="2" customWidth="1"/>
    <col min="2" max="2" width="7.3984375" style="2" customWidth="1"/>
    <col min="3" max="3" width="11.59765625" style="2" customWidth="1"/>
    <col min="4" max="4" width="7.3984375" style="2" customWidth="1"/>
    <col min="5" max="5" width="11.59765625" style="2" customWidth="1"/>
    <col min="6" max="6" width="7.3984375" style="2" customWidth="1"/>
    <col min="7" max="7" width="11.59765625" style="2" customWidth="1"/>
    <col min="8" max="8" width="7.3984375" style="2" customWidth="1"/>
    <col min="9" max="9" width="11.59765625" style="2" customWidth="1"/>
    <col min="10" max="16384" width="8.8984375" style="2" customWidth="1"/>
  </cols>
  <sheetData>
    <row r="1" spans="1:11" ht="15.75">
      <c r="A1" s="51" t="str">
        <f>inputPrYr!$D$2</f>
        <v>CITY OF PARK CITY</v>
      </c>
      <c r="B1" s="154"/>
      <c r="C1" s="50"/>
      <c r="D1" s="50"/>
      <c r="E1" s="50"/>
      <c r="F1" s="52" t="s">
        <v>330</v>
      </c>
      <c r="G1" s="50"/>
      <c r="H1" s="50"/>
      <c r="I1" s="50"/>
      <c r="J1" s="50"/>
      <c r="K1" s="50">
        <f>inputPrYr!$C$5</f>
        <v>2010</v>
      </c>
    </row>
    <row r="2" spans="1:11" ht="15.75">
      <c r="A2" s="50"/>
      <c r="B2" s="50"/>
      <c r="C2" s="50"/>
      <c r="D2" s="50"/>
      <c r="E2" s="50"/>
      <c r="F2" s="360" t="str">
        <f>CONCATENATE("(Only the actual budget year for ",K1-2," is to be shown)")</f>
        <v>(Only the actual budget year for 2008 is to be shown)</v>
      </c>
      <c r="G2" s="50"/>
      <c r="H2" s="50"/>
      <c r="I2" s="50"/>
      <c r="J2" s="50"/>
      <c r="K2" s="50"/>
    </row>
    <row r="3" spans="1:11" ht="15.75">
      <c r="A3" s="50" t="s">
        <v>373</v>
      </c>
      <c r="B3" s="50"/>
      <c r="C3" s="50"/>
      <c r="D3" s="50"/>
      <c r="E3" s="50"/>
      <c r="F3" s="154"/>
      <c r="G3" s="50"/>
      <c r="H3" s="50"/>
      <c r="I3" s="50"/>
      <c r="J3" s="50"/>
      <c r="K3" s="50"/>
    </row>
    <row r="4" spans="1:11" ht="15.75">
      <c r="A4" s="50" t="s">
        <v>321</v>
      </c>
      <c r="B4" s="50"/>
      <c r="C4" s="50" t="s">
        <v>322</v>
      </c>
      <c r="D4" s="50"/>
      <c r="E4" s="50" t="s">
        <v>323</v>
      </c>
      <c r="F4" s="154"/>
      <c r="G4" s="50" t="s">
        <v>324</v>
      </c>
      <c r="H4" s="50"/>
      <c r="I4" s="50" t="s">
        <v>325</v>
      </c>
      <c r="J4" s="50"/>
      <c r="K4" s="50"/>
    </row>
    <row r="5" spans="1:11" ht="15.75">
      <c r="A5" s="502" t="str">
        <f>IF(inputPrYr!B69&gt;" ",(inputPrYr!B69)," ")</f>
        <v>CCUA Reimbursement Fd</v>
      </c>
      <c r="B5" s="503"/>
      <c r="C5" s="502" t="str">
        <f>IF(inputPrYr!B70&gt;" ",(inputPrYr!B70)," ")</f>
        <v>Police KS Drug Tax Fund</v>
      </c>
      <c r="D5" s="503"/>
      <c r="E5" s="502" t="str">
        <f>IF(inputPrYr!B71&gt;" ",(inputPrYr!B71)," ")</f>
        <v>Police FESA Fund</v>
      </c>
      <c r="F5" s="503"/>
      <c r="G5" s="502" t="str">
        <f>IF(inputPrYr!B72&gt;" ",(inputPrYr!B72)," ")</f>
        <v>Water Surplus-Settlemnt Fds</v>
      </c>
      <c r="H5" s="503"/>
      <c r="I5" s="502" t="str">
        <f>IF(inputPrYr!B73&gt;" ",(inputPrYr!B73)," ")</f>
        <v>Payroll"Section 125"Flex Fd</v>
      </c>
      <c r="J5" s="503"/>
      <c r="K5" s="155"/>
    </row>
    <row r="6" spans="1:11" ht="15.75">
      <c r="A6" s="156" t="s">
        <v>326</v>
      </c>
      <c r="B6" s="157"/>
      <c r="C6" s="158" t="s">
        <v>326</v>
      </c>
      <c r="D6" s="159"/>
      <c r="E6" s="158" t="s">
        <v>326</v>
      </c>
      <c r="F6" s="160"/>
      <c r="G6" s="158" t="s">
        <v>326</v>
      </c>
      <c r="H6" s="161"/>
      <c r="I6" s="158" t="s">
        <v>326</v>
      </c>
      <c r="J6" s="50"/>
      <c r="K6" s="162" t="s">
        <v>127</v>
      </c>
    </row>
    <row r="7" spans="1:11" ht="15.75">
      <c r="A7" s="163" t="s">
        <v>48</v>
      </c>
      <c r="B7" s="278">
        <v>0</v>
      </c>
      <c r="C7" s="164" t="s">
        <v>48</v>
      </c>
      <c r="D7" s="278">
        <v>0</v>
      </c>
      <c r="E7" s="164" t="s">
        <v>48</v>
      </c>
      <c r="F7" s="278">
        <v>0</v>
      </c>
      <c r="G7" s="164" t="s">
        <v>48</v>
      </c>
      <c r="H7" s="278">
        <v>0</v>
      </c>
      <c r="I7" s="164" t="s">
        <v>48</v>
      </c>
      <c r="J7" s="278">
        <v>0</v>
      </c>
      <c r="K7" s="264">
        <f>SUM(B7+D7+F7+H7+J7)</f>
        <v>0</v>
      </c>
    </row>
    <row r="8" spans="1:11" ht="15.75">
      <c r="A8" s="165" t="s">
        <v>291</v>
      </c>
      <c r="B8" s="166"/>
      <c r="C8" s="165" t="s">
        <v>291</v>
      </c>
      <c r="D8" s="167"/>
      <c r="E8" s="165" t="s">
        <v>291</v>
      </c>
      <c r="F8" s="154"/>
      <c r="G8" s="165" t="s">
        <v>291</v>
      </c>
      <c r="H8" s="50"/>
      <c r="I8" s="165" t="s">
        <v>291</v>
      </c>
      <c r="J8" s="50"/>
      <c r="K8" s="154"/>
    </row>
    <row r="9" spans="1:11" ht="15.75">
      <c r="A9" s="277" t="s">
        <v>739</v>
      </c>
      <c r="B9" s="278">
        <v>97049</v>
      </c>
      <c r="C9" s="277" t="s">
        <v>668</v>
      </c>
      <c r="D9" s="278">
        <v>17113</v>
      </c>
      <c r="E9" s="277" t="s">
        <v>733</v>
      </c>
      <c r="F9" s="278">
        <v>4592</v>
      </c>
      <c r="G9" s="277" t="s">
        <v>747</v>
      </c>
      <c r="H9" s="278">
        <v>6107629</v>
      </c>
      <c r="I9" s="277" t="s">
        <v>756</v>
      </c>
      <c r="J9" s="278">
        <v>2500</v>
      </c>
      <c r="K9" s="154"/>
    </row>
    <row r="10" spans="1:11" ht="15.75">
      <c r="A10" s="277" t="s">
        <v>751</v>
      </c>
      <c r="B10" s="278">
        <v>23276</v>
      </c>
      <c r="C10" s="277"/>
      <c r="D10" s="278"/>
      <c r="E10" s="277"/>
      <c r="F10" s="278"/>
      <c r="G10" s="277"/>
      <c r="H10" s="278"/>
      <c r="I10" s="277"/>
      <c r="J10" s="278"/>
      <c r="K10" s="154"/>
    </row>
    <row r="11" spans="1:11" ht="15.75">
      <c r="A11" s="277"/>
      <c r="B11" s="278"/>
      <c r="C11" s="279"/>
      <c r="D11" s="278"/>
      <c r="E11" s="279"/>
      <c r="F11" s="278"/>
      <c r="G11" s="279" t="s">
        <v>734</v>
      </c>
      <c r="H11" s="278">
        <v>3966</v>
      </c>
      <c r="I11" s="280"/>
      <c r="J11" s="278"/>
      <c r="K11" s="154"/>
    </row>
    <row r="12" spans="1:11" ht="15.75">
      <c r="A12" s="277"/>
      <c r="B12" s="278"/>
      <c r="C12" s="277"/>
      <c r="D12" s="278"/>
      <c r="E12" s="281"/>
      <c r="F12" s="278"/>
      <c r="G12" s="281"/>
      <c r="H12" s="278"/>
      <c r="I12" s="281"/>
      <c r="J12" s="278"/>
      <c r="K12" s="154"/>
    </row>
    <row r="13" spans="1:11" ht="15.75">
      <c r="A13" s="282"/>
      <c r="B13" s="278"/>
      <c r="C13" s="283" t="s">
        <v>797</v>
      </c>
      <c r="D13" s="278">
        <v>2189</v>
      </c>
      <c r="E13" s="283" t="s">
        <v>797</v>
      </c>
      <c r="F13" s="278">
        <v>14268</v>
      </c>
      <c r="G13" s="283"/>
      <c r="H13" s="278"/>
      <c r="I13" s="280"/>
      <c r="J13" s="278"/>
      <c r="K13" s="154"/>
    </row>
    <row r="14" spans="1:11" ht="15.75">
      <c r="A14" s="277"/>
      <c r="B14" s="278"/>
      <c r="C14" s="281"/>
      <c r="D14" s="278"/>
      <c r="E14" s="281"/>
      <c r="F14" s="278"/>
      <c r="G14" s="281"/>
      <c r="H14" s="278"/>
      <c r="I14" s="281"/>
      <c r="J14" s="278"/>
      <c r="K14" s="154"/>
    </row>
    <row r="15" spans="1:11" ht="15.75">
      <c r="A15" s="277"/>
      <c r="B15" s="278"/>
      <c r="C15" s="281"/>
      <c r="D15" s="278"/>
      <c r="E15" s="281"/>
      <c r="F15" s="278"/>
      <c r="G15" s="281"/>
      <c r="H15" s="278"/>
      <c r="I15" s="281"/>
      <c r="J15" s="278"/>
      <c r="K15" s="154"/>
    </row>
    <row r="16" spans="1:11" ht="15.75">
      <c r="A16" s="277"/>
      <c r="B16" s="278"/>
      <c r="C16" s="277"/>
      <c r="D16" s="278"/>
      <c r="E16" s="277"/>
      <c r="F16" s="278"/>
      <c r="G16" s="281"/>
      <c r="H16" s="278"/>
      <c r="I16" s="277"/>
      <c r="J16" s="278"/>
      <c r="K16" s="154"/>
    </row>
    <row r="17" spans="1:11" ht="15.75">
      <c r="A17" s="165" t="s">
        <v>165</v>
      </c>
      <c r="B17" s="264">
        <f>SUM(B9:B16)</f>
        <v>120325</v>
      </c>
      <c r="C17" s="165" t="s">
        <v>165</v>
      </c>
      <c r="D17" s="265">
        <f>SUM(D9:D16)</f>
        <v>19302</v>
      </c>
      <c r="E17" s="165" t="s">
        <v>165</v>
      </c>
      <c r="F17" s="266">
        <f>SUM(F9:F16)</f>
        <v>18860</v>
      </c>
      <c r="G17" s="165" t="s">
        <v>165</v>
      </c>
      <c r="H17" s="265">
        <f>SUM(H9:H16)</f>
        <v>6111595</v>
      </c>
      <c r="I17" s="165" t="s">
        <v>165</v>
      </c>
      <c r="J17" s="265">
        <f>SUM(J9:J16)</f>
        <v>2500</v>
      </c>
      <c r="K17" s="264">
        <f>SUM(B17+D17+F17+H17+J17)</f>
        <v>6272582</v>
      </c>
    </row>
    <row r="18" spans="1:11" ht="15.75">
      <c r="A18" s="165" t="s">
        <v>166</v>
      </c>
      <c r="B18" s="264">
        <f>SUM(B7+B17)</f>
        <v>120325</v>
      </c>
      <c r="C18" s="165" t="s">
        <v>166</v>
      </c>
      <c r="D18" s="264">
        <f>SUM(D7+D17)</f>
        <v>19302</v>
      </c>
      <c r="E18" s="165" t="s">
        <v>166</v>
      </c>
      <c r="F18" s="264">
        <f>SUM(F7+F17)</f>
        <v>18860</v>
      </c>
      <c r="G18" s="165" t="s">
        <v>166</v>
      </c>
      <c r="H18" s="264">
        <f>SUM(H7+H17)</f>
        <v>6111595</v>
      </c>
      <c r="I18" s="165" t="s">
        <v>166</v>
      </c>
      <c r="J18" s="264">
        <f>SUM(J7+J17)</f>
        <v>2500</v>
      </c>
      <c r="K18" s="264">
        <f>SUM(B18+D18+F18+H18+J18)</f>
        <v>6272582</v>
      </c>
    </row>
    <row r="19" spans="1:11" ht="15.75">
      <c r="A19" s="165" t="s">
        <v>168</v>
      </c>
      <c r="B19" s="166"/>
      <c r="C19" s="165" t="s">
        <v>168</v>
      </c>
      <c r="D19" s="167"/>
      <c r="E19" s="165" t="s">
        <v>168</v>
      </c>
      <c r="F19" s="154"/>
      <c r="G19" s="165" t="s">
        <v>168</v>
      </c>
      <c r="H19" s="50"/>
      <c r="I19" s="165" t="s">
        <v>168</v>
      </c>
      <c r="J19" s="50"/>
      <c r="K19" s="154"/>
    </row>
    <row r="20" spans="1:11" ht="15.75">
      <c r="A20" s="277" t="s">
        <v>700</v>
      </c>
      <c r="B20" s="278">
        <v>63858</v>
      </c>
      <c r="C20" s="281" t="s">
        <v>762</v>
      </c>
      <c r="D20" s="278">
        <v>2248</v>
      </c>
      <c r="E20" s="281"/>
      <c r="F20" s="278"/>
      <c r="G20" s="281"/>
      <c r="H20" s="278"/>
      <c r="I20" s="281"/>
      <c r="J20" s="278"/>
      <c r="K20" s="154"/>
    </row>
    <row r="21" spans="1:11" ht="15.75">
      <c r="A21" s="277" t="s">
        <v>752</v>
      </c>
      <c r="B21" s="278">
        <f>3758.97+10653.15+773.2+192.78+3951+879.16+79.68</f>
        <v>20287.94</v>
      </c>
      <c r="C21" s="281"/>
      <c r="D21" s="278"/>
      <c r="E21" s="281"/>
      <c r="F21" s="278"/>
      <c r="G21" s="281"/>
      <c r="H21" s="278"/>
      <c r="I21" s="281"/>
      <c r="J21" s="278"/>
      <c r="K21" s="154"/>
    </row>
    <row r="22" spans="1:11" ht="15.75">
      <c r="A22" s="277" t="s">
        <v>595</v>
      </c>
      <c r="B22" s="278">
        <v>31900</v>
      </c>
      <c r="C22" s="283"/>
      <c r="D22" s="278"/>
      <c r="E22" s="283"/>
      <c r="F22" s="278"/>
      <c r="G22" s="283"/>
      <c r="H22" s="278"/>
      <c r="I22" s="280"/>
      <c r="J22" s="278"/>
      <c r="K22" s="154"/>
    </row>
    <row r="23" spans="1:11" ht="15.75">
      <c r="A23" s="277" t="s">
        <v>753</v>
      </c>
      <c r="B23" s="278">
        <v>1018</v>
      </c>
      <c r="C23" s="281"/>
      <c r="D23" s="278"/>
      <c r="E23" s="281"/>
      <c r="F23" s="278"/>
      <c r="G23" s="281"/>
      <c r="H23" s="278"/>
      <c r="I23" s="281"/>
      <c r="J23" s="278"/>
      <c r="K23" s="154"/>
    </row>
    <row r="24" spans="1:11" ht="15.75">
      <c r="A24" s="277" t="s">
        <v>609</v>
      </c>
      <c r="B24" s="278">
        <v>997</v>
      </c>
      <c r="C24" s="283"/>
      <c r="D24" s="278"/>
      <c r="E24" s="283"/>
      <c r="F24" s="278"/>
      <c r="G24" s="283"/>
      <c r="H24" s="278"/>
      <c r="I24" s="280"/>
      <c r="J24" s="278"/>
      <c r="K24" s="154"/>
    </row>
    <row r="25" spans="1:11" ht="15.75">
      <c r="A25" s="277" t="s">
        <v>754</v>
      </c>
      <c r="B25" s="278">
        <v>250</v>
      </c>
      <c r="C25" s="281"/>
      <c r="D25" s="278"/>
      <c r="E25" s="281"/>
      <c r="F25" s="278"/>
      <c r="G25" s="281"/>
      <c r="H25" s="278"/>
      <c r="I25" s="281"/>
      <c r="J25" s="278"/>
      <c r="K25" s="154"/>
    </row>
    <row r="26" spans="1:11" ht="15.75">
      <c r="A26" s="277" t="s">
        <v>755</v>
      </c>
      <c r="B26" s="278">
        <v>1861</v>
      </c>
      <c r="C26" s="281"/>
      <c r="D26" s="278"/>
      <c r="E26" s="281"/>
      <c r="F26" s="278"/>
      <c r="G26" s="281"/>
      <c r="H26" s="278"/>
      <c r="I26" s="281"/>
      <c r="J26" s="278"/>
      <c r="K26" s="154"/>
    </row>
    <row r="27" spans="1:11" ht="15.75">
      <c r="A27" s="277"/>
      <c r="B27" s="278"/>
      <c r="C27" s="277"/>
      <c r="D27" s="278"/>
      <c r="E27" s="277"/>
      <c r="F27" s="278"/>
      <c r="G27" s="281"/>
      <c r="H27" s="278"/>
      <c r="I27" s="281"/>
      <c r="J27" s="278"/>
      <c r="K27" s="154"/>
    </row>
    <row r="28" spans="1:11" ht="15.75">
      <c r="A28" s="165" t="s">
        <v>172</v>
      </c>
      <c r="B28" s="264">
        <f>SUM(B20:B27)</f>
        <v>120171.94</v>
      </c>
      <c r="C28" s="165" t="s">
        <v>172</v>
      </c>
      <c r="D28" s="265">
        <f>SUM(D20:D27)</f>
        <v>2248</v>
      </c>
      <c r="E28" s="165" t="s">
        <v>172</v>
      </c>
      <c r="F28" s="266">
        <f>SUM(F20:F27)</f>
        <v>0</v>
      </c>
      <c r="G28" s="165" t="s">
        <v>172</v>
      </c>
      <c r="H28" s="266">
        <f>SUM(H20:H27)</f>
        <v>0</v>
      </c>
      <c r="I28" s="165" t="s">
        <v>172</v>
      </c>
      <c r="J28" s="265">
        <f>SUM(J20:J27)</f>
        <v>0</v>
      </c>
      <c r="K28" s="264">
        <f>SUM(B28+D28+F28+H28+J28)</f>
        <v>122419.94</v>
      </c>
    </row>
    <row r="29" spans="1:12" ht="15.75">
      <c r="A29" s="165" t="s">
        <v>327</v>
      </c>
      <c r="B29" s="264">
        <f>SUM(B18-B28)</f>
        <v>153.05999999999767</v>
      </c>
      <c r="C29" s="165" t="s">
        <v>327</v>
      </c>
      <c r="D29" s="264">
        <f>SUM(D18-D28)</f>
        <v>17054</v>
      </c>
      <c r="E29" s="165" t="s">
        <v>327</v>
      </c>
      <c r="F29" s="264">
        <f>SUM(F18-F28)</f>
        <v>18860</v>
      </c>
      <c r="G29" s="165" t="s">
        <v>327</v>
      </c>
      <c r="H29" s="264">
        <f>SUM(H18-H28)</f>
        <v>6111595</v>
      </c>
      <c r="I29" s="165" t="s">
        <v>327</v>
      </c>
      <c r="J29" s="264">
        <f>SUM(J18-J28)</f>
        <v>2500</v>
      </c>
      <c r="K29" s="267">
        <f>SUM(B29+D29+F29+H29+J29)</f>
        <v>6150162.06</v>
      </c>
      <c r="L29" s="2" t="s">
        <v>417</v>
      </c>
    </row>
    <row r="30" spans="1:12" ht="15.75">
      <c r="A30" s="165"/>
      <c r="B30" s="363">
        <f>IF(B29&lt;0,"Neg Bal","")</f>
      </c>
      <c r="C30" s="165"/>
      <c r="D30" s="363">
        <f>IF(D29&lt;0,"Neg Bal","")</f>
      </c>
      <c r="E30" s="165"/>
      <c r="F30" s="363">
        <f>IF(F29&lt;0,"Neg Bal","")</f>
      </c>
      <c r="G30" s="50"/>
      <c r="H30" s="363">
        <f>IF(H29&lt;0,"Neg Bal","")</f>
      </c>
      <c r="I30" s="50"/>
      <c r="J30" s="363">
        <f>IF(J29&lt;0,"Neg Bal","")</f>
      </c>
      <c r="K30" s="267">
        <f>SUM(K7+K17-K28)</f>
        <v>6150162.06</v>
      </c>
      <c r="L30" s="2" t="s">
        <v>417</v>
      </c>
    </row>
    <row r="31" spans="1:11" ht="15.75">
      <c r="A31" s="50"/>
      <c r="B31" s="55"/>
      <c r="C31" s="50"/>
      <c r="D31" s="154"/>
      <c r="E31" s="50"/>
      <c r="F31" s="50"/>
      <c r="G31" s="354" t="s">
        <v>418</v>
      </c>
      <c r="H31" s="354"/>
      <c r="I31" s="354"/>
      <c r="J31" s="354"/>
      <c r="K31" s="50"/>
    </row>
    <row r="32" spans="1:11" ht="15.75">
      <c r="A32" s="50"/>
      <c r="B32" s="55"/>
      <c r="C32" s="50"/>
      <c r="D32" s="50"/>
      <c r="E32" s="50"/>
      <c r="F32" s="50"/>
      <c r="G32" s="50"/>
      <c r="H32" s="50"/>
      <c r="I32" s="50"/>
      <c r="J32" s="50"/>
      <c r="K32" s="50"/>
    </row>
    <row r="33" spans="1:11" ht="15.75">
      <c r="A33" s="50"/>
      <c r="B33" s="55"/>
      <c r="C33" s="50"/>
      <c r="D33" s="50"/>
      <c r="E33" s="63" t="s">
        <v>175</v>
      </c>
      <c r="F33" s="100">
        <v>22</v>
      </c>
      <c r="G33" s="50"/>
      <c r="H33" s="50"/>
      <c r="I33" s="50"/>
      <c r="J33" s="50"/>
      <c r="K33" s="50"/>
    </row>
    <row r="34" ht="15.75">
      <c r="B34" s="168"/>
    </row>
    <row r="35" ht="15.75">
      <c r="B35" s="168"/>
    </row>
    <row r="36" ht="15.75">
      <c r="B36" s="168"/>
    </row>
    <row r="37" ht="15.75">
      <c r="B37" s="168"/>
    </row>
    <row r="38" ht="15.75">
      <c r="B38" s="168"/>
    </row>
    <row r="39" ht="15.75">
      <c r="B39" s="168"/>
    </row>
    <row r="40" ht="15.75">
      <c r="B40" s="168"/>
    </row>
    <row r="41" ht="15.75">
      <c r="B41" s="168"/>
    </row>
  </sheetData>
  <sheetProtection sheet="1" objects="1" scenarios="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City</oddHeader>
    <oddFooter>&amp;Lrevised 7/01/08</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69"/>
  <sheetViews>
    <sheetView tabSelected="1" zoomScale="75" zoomScaleNormal="75" zoomScalePageLayoutView="0" workbookViewId="0" topLeftCell="A13">
      <selection activeCell="G23" sqref="G23"/>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796875" style="2" customWidth="1"/>
    <col min="7" max="7" width="12.796875" style="2" customWidth="1"/>
    <col min="8" max="8" width="10.796875" style="2" customWidth="1"/>
    <col min="9" max="16384" width="8.8984375" style="2" customWidth="1"/>
  </cols>
  <sheetData>
    <row r="1" spans="1:9" ht="15.75">
      <c r="A1" s="444" t="s">
        <v>230</v>
      </c>
      <c r="B1" s="444"/>
      <c r="C1" s="444"/>
      <c r="D1" s="444"/>
      <c r="E1" s="444"/>
      <c r="F1" s="444"/>
      <c r="G1" s="444"/>
      <c r="H1" s="444"/>
      <c r="I1" s="12"/>
    </row>
    <row r="2" spans="1:8" ht="18" customHeight="1">
      <c r="A2" s="21"/>
      <c r="B2" s="21"/>
      <c r="C2" s="21"/>
      <c r="D2" s="21"/>
      <c r="E2" s="21"/>
      <c r="F2" s="21"/>
      <c r="G2" s="21"/>
      <c r="H2" s="21">
        <f>inputPrYr!$C$5</f>
        <v>2010</v>
      </c>
    </row>
    <row r="3" spans="1:8" ht="18" customHeight="1">
      <c r="A3" s="438" t="s">
        <v>178</v>
      </c>
      <c r="B3" s="438"/>
      <c r="C3" s="438"/>
      <c r="D3" s="438"/>
      <c r="E3" s="438"/>
      <c r="F3" s="438"/>
      <c r="G3" s="438"/>
      <c r="H3" s="438"/>
    </row>
    <row r="4" spans="1:8" ht="15.75">
      <c r="A4" s="438" t="str">
        <f>inputPrYr!D2</f>
        <v>CITY OF PARK CITY</v>
      </c>
      <c r="B4" s="438"/>
      <c r="C4" s="438"/>
      <c r="D4" s="438"/>
      <c r="E4" s="438"/>
      <c r="F4" s="438"/>
      <c r="G4" s="438"/>
      <c r="H4" s="438"/>
    </row>
    <row r="5" spans="1:8" ht="18" customHeight="1">
      <c r="A5" s="506" t="s">
        <v>682</v>
      </c>
      <c r="B5" s="506"/>
      <c r="C5" s="506"/>
      <c r="D5" s="506"/>
      <c r="E5" s="506"/>
      <c r="F5" s="506"/>
      <c r="G5" s="506"/>
      <c r="H5" s="506"/>
    </row>
    <row r="6" spans="1:8" ht="16.5" customHeight="1">
      <c r="A6" s="438" t="s">
        <v>241</v>
      </c>
      <c r="B6" s="438"/>
      <c r="C6" s="438"/>
      <c r="D6" s="438"/>
      <c r="E6" s="438"/>
      <c r="F6" s="438"/>
      <c r="G6" s="438"/>
      <c r="H6" s="438"/>
    </row>
    <row r="7" spans="1:8" ht="16.5" customHeight="1">
      <c r="A7" s="21"/>
      <c r="B7" s="21"/>
      <c r="C7" s="21"/>
      <c r="D7" s="21"/>
      <c r="E7" s="21"/>
      <c r="F7" s="21"/>
      <c r="G7" s="21"/>
      <c r="H7" s="21"/>
    </row>
    <row r="8" spans="1:8" ht="16.5" customHeight="1">
      <c r="A8" s="506" t="s">
        <v>683</v>
      </c>
      <c r="B8" s="506"/>
      <c r="C8" s="506"/>
      <c r="D8" s="506"/>
      <c r="E8" s="506"/>
      <c r="F8" s="506"/>
      <c r="G8" s="506"/>
      <c r="H8" s="506"/>
    </row>
    <row r="9" spans="1:8" ht="16.5" customHeight="1">
      <c r="A9" s="438" t="s">
        <v>179</v>
      </c>
      <c r="B9" s="438"/>
      <c r="C9" s="438"/>
      <c r="D9" s="438"/>
      <c r="E9" s="438"/>
      <c r="F9" s="438"/>
      <c r="G9" s="438"/>
      <c r="H9" s="438"/>
    </row>
    <row r="10" spans="1:8" ht="15.75">
      <c r="A10" s="49"/>
      <c r="B10" s="49"/>
      <c r="C10" s="49"/>
      <c r="D10" s="49"/>
      <c r="E10" s="49"/>
      <c r="F10" s="49"/>
      <c r="G10" s="49"/>
      <c r="H10" s="49"/>
    </row>
    <row r="11" spans="1:8" ht="15.75">
      <c r="A11" s="103" t="s">
        <v>231</v>
      </c>
      <c r="B11" s="27"/>
      <c r="C11" s="27"/>
      <c r="D11" s="27"/>
      <c r="E11" s="27"/>
      <c r="F11" s="27"/>
      <c r="G11" s="27"/>
      <c r="H11" s="27"/>
    </row>
    <row r="12" spans="1:8" ht="15.75">
      <c r="A12" s="26" t="str">
        <f>CONCATENATE("Proposed Budget ",H2," Expenditures and Amount of ",H2-1," Ad Valorem Tax establish the maximum limits of the ",H2," budget.")</f>
        <v>Proposed Budget 2010 Expenditures and Amount of 2009 Ad Valorem Tax establish the maximum limits of the 2010 budget.</v>
      </c>
      <c r="B12" s="27"/>
      <c r="C12" s="27"/>
      <c r="D12" s="27"/>
      <c r="E12" s="27"/>
      <c r="F12" s="27"/>
      <c r="G12" s="27"/>
      <c r="H12" s="27"/>
    </row>
    <row r="13" spans="1:8" ht="15.75">
      <c r="A13" s="26" t="s">
        <v>296</v>
      </c>
      <c r="B13" s="27"/>
      <c r="C13" s="27"/>
      <c r="D13" s="27"/>
      <c r="E13" s="27"/>
      <c r="F13" s="27"/>
      <c r="G13" s="27"/>
      <c r="H13" s="27"/>
    </row>
    <row r="14" spans="1:8" ht="15.75">
      <c r="A14" s="21"/>
      <c r="B14" s="96"/>
      <c r="C14" s="96"/>
      <c r="D14" s="96"/>
      <c r="E14" s="96"/>
      <c r="F14" s="96"/>
      <c r="G14" s="96"/>
      <c r="H14" s="96"/>
    </row>
    <row r="15" spans="1:8" ht="15.75">
      <c r="A15" s="21"/>
      <c r="B15" s="104" t="str">
        <f>CONCATENATE("Prior Year Actual for ",H2-2,"")</f>
        <v>Prior Year Actual for 2008</v>
      </c>
      <c r="C15" s="30"/>
      <c r="D15" s="104" t="str">
        <f>CONCATENATE("Current Year Estimate for ",H2-1,"")</f>
        <v>Current Year Estimate for 2009</v>
      </c>
      <c r="E15" s="30"/>
      <c r="F15" s="28" t="str">
        <f>CONCATENATE("Proposed Budget for ",H2,"")</f>
        <v>Proposed Budget for 2010</v>
      </c>
      <c r="G15" s="29"/>
      <c r="H15" s="30"/>
    </row>
    <row r="16" spans="1:8" ht="21" customHeight="1">
      <c r="A16" s="21"/>
      <c r="B16" s="93"/>
      <c r="C16" s="33" t="s">
        <v>181</v>
      </c>
      <c r="D16" s="33"/>
      <c r="E16" s="33" t="s">
        <v>181</v>
      </c>
      <c r="F16" s="33"/>
      <c r="G16" s="33" t="str">
        <f>CONCATENATE("Amount of ",H2-1,"")</f>
        <v>Amount of 2009</v>
      </c>
      <c r="H16" s="33" t="s">
        <v>376</v>
      </c>
    </row>
    <row r="17" spans="1:8" ht="15.75">
      <c r="A17" s="44" t="s">
        <v>182</v>
      </c>
      <c r="B17" s="36" t="s">
        <v>183</v>
      </c>
      <c r="C17" s="36" t="s">
        <v>184</v>
      </c>
      <c r="D17" s="36" t="s">
        <v>183</v>
      </c>
      <c r="E17" s="36" t="s">
        <v>184</v>
      </c>
      <c r="F17" s="36" t="s">
        <v>185</v>
      </c>
      <c r="G17" s="192" t="s">
        <v>157</v>
      </c>
      <c r="H17" s="36" t="s">
        <v>184</v>
      </c>
    </row>
    <row r="18" spans="1:8" ht="15.75">
      <c r="A18" s="40" t="str">
        <f>inputPrYr!B16</f>
        <v>General</v>
      </c>
      <c r="B18" s="40">
        <f>IF(general!$C$106&lt;&gt;0,general!$C$106,"  ")</f>
        <v>3252246.04</v>
      </c>
      <c r="C18" s="105">
        <f>IF(inputPrYr!D78&gt;0,inputPrYr!D78,"  ")</f>
        <v>19.604</v>
      </c>
      <c r="D18" s="40">
        <f>IF(general!$E$106&lt;&gt;0,general!$E$106,"  ")</f>
        <v>3394809</v>
      </c>
      <c r="E18" s="105">
        <f>IF(inputOth!D20&gt;0,inputOth!D20,"  ")</f>
        <v>16.158</v>
      </c>
      <c r="F18" s="40">
        <f>IF(general!$G$106&lt;&gt;0,general!$G$106,"  ")</f>
        <v>3416164</v>
      </c>
      <c r="G18" s="40">
        <f>IF(general!$G$112&lt;&gt;0,general!$G$112,"  ")</f>
        <v>788282.2399999998</v>
      </c>
      <c r="H18" s="105">
        <f>IF(general!G112&gt;0,ROUND(G18/$F$55*1000,3),"  ")</f>
        <v>14.464</v>
      </c>
    </row>
    <row r="19" spans="1:8" ht="15.75">
      <c r="A19" s="40" t="str">
        <f>inputPrYr!B17</f>
        <v>Debt Service</v>
      </c>
      <c r="B19" s="40">
        <f>IF(DebtService!$C$54&lt;&gt;0,DebtService!$C$54,"  ")</f>
        <v>2032607</v>
      </c>
      <c r="C19" s="105" t="str">
        <f>IF(inputPrYr!D79&gt;0,inputPrYr!D79,"  ")</f>
        <v>  </v>
      </c>
      <c r="D19" s="40">
        <f>IF(DebtService!$E$54&lt;&gt;0,DebtService!$E$54,"  ")</f>
        <v>2106210</v>
      </c>
      <c r="E19" s="105">
        <f>IF(inputOth!D21&gt;0,inputOth!D21,"  ")</f>
        <v>2.742</v>
      </c>
      <c r="F19" s="40">
        <f>IF(DebtService!$G$54&lt;&gt;0,DebtService!$G$54,"  ")</f>
        <v>2999343.98</v>
      </c>
      <c r="G19" s="40">
        <f>IF(DebtService!$G$60&lt;&gt;0,DebtService!$G$60,"  ")</f>
        <v>224909.97999999998</v>
      </c>
      <c r="H19" s="105">
        <f>IF(DebtService!G60&gt;0,ROUND(G19/$F$55*1000,3),"  ")</f>
        <v>4.127</v>
      </c>
    </row>
    <row r="20" spans="1:8" ht="15.75">
      <c r="A20" s="40" t="str">
        <f>IF(inputPrYr!$B19&gt;"  ",(inputPrYr!$B19),"  ")</f>
        <v>Bond &amp; Interest-Ballfield Lgts</v>
      </c>
      <c r="B20" s="40">
        <f>IF('Ballfields &amp; Emp Benefits'!$C$31&gt;0,'Ballfields &amp; Emp Benefits'!$C$31,"  ")</f>
        <v>7130</v>
      </c>
      <c r="C20" s="105">
        <f>IF(inputPrYr!D80&gt;0,inputPrYr!D80,"  ")</f>
        <v>0.121</v>
      </c>
      <c r="D20" s="40">
        <f>IF('Ballfields &amp; Emp Benefits'!$E$31&gt;0,'Ballfields &amp; Emp Benefits'!$E$31,"  ")</f>
        <v>7515</v>
      </c>
      <c r="E20" s="105">
        <f>IF(inputOth!D22&gt;0,inputOth!D22,"  ")</f>
        <v>0.128</v>
      </c>
      <c r="F20" s="40">
        <f>IF('Ballfields &amp; Emp Benefits'!$G$31&gt;0,'Ballfields &amp; Emp Benefits'!$G$31,"  ")</f>
        <v>7730</v>
      </c>
      <c r="G20" s="40">
        <f>IF('Ballfields &amp; Emp Benefits'!$G$37&lt;&gt;0,'Ballfields &amp; Emp Benefits'!$G$37,"  ")</f>
        <v>6683.41</v>
      </c>
      <c r="H20" s="105">
        <f>IF('Ballfields &amp; Emp Benefits'!G37&lt;&gt;0,ROUND(G20/$F$55*1000,3),"  ")</f>
        <v>0.123</v>
      </c>
    </row>
    <row r="21" spans="1:8" ht="15.75">
      <c r="A21" s="40" t="str">
        <f>IF(inputPrYr!$B20&gt;"  ",(inputPrYr!$B20),"  ")</f>
        <v>Employee Benefit Fund</v>
      </c>
      <c r="B21" s="40">
        <f>IF('Ballfields &amp; Emp Benefits'!$C$67&gt;0,'Ballfields &amp; Emp Benefits'!$C$67,"  ")</f>
        <v>792431</v>
      </c>
      <c r="C21" s="105">
        <f>IF(inputPrYr!D81&gt;0,inputPrYr!D81,"  ")</f>
        <v>14.085</v>
      </c>
      <c r="D21" s="40">
        <f>IF('Ballfields &amp; Emp Benefits'!$E$67&gt;0,'Ballfields &amp; Emp Benefits'!$E$67,"  ")</f>
        <v>1039251</v>
      </c>
      <c r="E21" s="105">
        <f>IF(inputOth!D23&gt;0,inputOth!D23,"  ")</f>
        <v>14.943</v>
      </c>
      <c r="F21" s="40">
        <f>IF('Ballfields &amp; Emp Benefits'!$G$67&gt;0,'Ballfields &amp; Emp Benefits'!$G$67,"  ")</f>
        <v>1103884</v>
      </c>
      <c r="G21" s="40">
        <f>IF('Ballfields &amp; Emp Benefits'!$G$73&lt;&gt;0,'Ballfields &amp; Emp Benefits'!$G$73,"  ")</f>
        <v>830269</v>
      </c>
      <c r="H21" s="105">
        <f>IF('Ballfields &amp; Emp Benefits'!G73&lt;&gt;0,ROUND(G21/$F$55*1000,3),"  ")</f>
        <v>15.234</v>
      </c>
    </row>
    <row r="22" spans="1:8" ht="15.75">
      <c r="A22" s="40" t="str">
        <f>IF(inputPrYr!$B21&gt;"  ",(inputPrYr!$B21),"  ")</f>
        <v>Library Fund</v>
      </c>
      <c r="B22" s="40" t="str">
        <f>IF('Library Levies'!$C$31&gt;0,'Library Levies'!$C$31,"  ")</f>
        <v>  </v>
      </c>
      <c r="C22" s="105">
        <f>IF(inputPrYr!D82&gt;0,inputPrYr!D82,"  ")</f>
        <v>3</v>
      </c>
      <c r="D22" s="40">
        <f>IF('Library Levies'!$E$31&gt;0,'Library Levies'!$E$31,"  ")</f>
        <v>195310</v>
      </c>
      <c r="E22" s="105">
        <f>IF(inputOth!D24&gt;0,inputOth!D24,"  ")</f>
        <v>3</v>
      </c>
      <c r="F22" s="40">
        <f>IF('Library Levies'!$G$31&gt;0,'Library Levies'!$G$31,"  ")</f>
        <v>222813</v>
      </c>
      <c r="G22" s="40">
        <f>IF('Library Levies'!$G$37&lt;&gt;0,'Library Levies'!$G$37,"  ")</f>
        <v>187974</v>
      </c>
      <c r="H22" s="105">
        <f>IF('Library Levies'!G37&lt;&gt;0,ROUND(G22/$F$55*1000,3),"  ")</f>
        <v>3.449</v>
      </c>
    </row>
    <row r="23" spans="1:8" ht="15.75">
      <c r="A23" s="40" t="str">
        <f>IF(inputPrYr!$B22&gt;"  ",(inputPrYr!$B22),"  ")</f>
        <v>Library Employee Benefits</v>
      </c>
      <c r="B23" s="40" t="str">
        <f>IF('Library Levies'!$C$66&gt;0,'Library Levies'!$C$66,"  ")</f>
        <v>  </v>
      </c>
      <c r="C23" s="105">
        <f>IF(inputPrYr!D83&gt;0,inputPrYr!D83,"  ")</f>
        <v>0.335</v>
      </c>
      <c r="D23" s="40">
        <f>IF('Library Levies'!$E$66&gt;0,'Library Levies'!$E$66,"  ")</f>
        <v>41612</v>
      </c>
      <c r="E23" s="105">
        <f>IF(inputOth!D25&gt;0,inputOth!D25,"  ")</f>
        <v>0.479</v>
      </c>
      <c r="F23" s="40">
        <f>IF('Library Levies'!$G$66&gt;0,'Library Levies'!$G$66,"  ")</f>
        <v>46559</v>
      </c>
      <c r="G23" s="40">
        <f>IF('Library Levies'!$G$72&lt;&gt;0,'Library Levies'!$G$72,"  ")</f>
        <v>25406</v>
      </c>
      <c r="H23" s="105">
        <f>IF('Library Levies'!G72&lt;&gt;0,ROUND(G23/$F$55*1000,3),"  ")</f>
        <v>0.466</v>
      </c>
    </row>
    <row r="24" spans="1:8" ht="15.75">
      <c r="A24" s="40" t="str">
        <f>IF(inputPrYr!$B23&gt;"  ",(inputPrYr!$B23),"  ")</f>
        <v>  </v>
      </c>
      <c r="B24" s="40" t="str">
        <f>IF('na levy page11'!$C$30&gt;0,'na levy page11'!$C$30,"  ")</f>
        <v>  </v>
      </c>
      <c r="C24" s="105" t="str">
        <f>IF(inputPrYr!D84&gt;0,inputPrYr!D84,"  ")</f>
        <v>  </v>
      </c>
      <c r="D24" s="40" t="str">
        <f>IF('na levy page11'!$E$30&gt;0,'na levy page11'!$E$30,"  ")</f>
        <v>  </v>
      </c>
      <c r="E24" s="105" t="str">
        <f>IF(inputOth!D26&gt;0,inputOth!D26,"  ")</f>
        <v>  </v>
      </c>
      <c r="F24" s="40" t="str">
        <f>IF('na levy page11'!$G$30&gt;0,'na levy page11'!$G$30,"  ")</f>
        <v>  </v>
      </c>
      <c r="G24" s="40" t="str">
        <f>IF('na levy page11'!$G$36&lt;&gt;0,'na levy page11'!$G$36,"  ")</f>
        <v>  </v>
      </c>
      <c r="H24" s="105" t="str">
        <f>IF('na levy page11'!G36&lt;&gt;0,ROUND(G24/$F$55*1000,3),"  ")</f>
        <v>  </v>
      </c>
    </row>
    <row r="25" spans="1:8" ht="15.75">
      <c r="A25" s="40" t="str">
        <f>IF(inputPrYr!$B24&gt;"  ",(inputPrYr!$B24),"  ")</f>
        <v>  </v>
      </c>
      <c r="B25" s="40" t="str">
        <f>IF('na levy page11'!$C$65&gt;0,'na levy page11'!$C$65,"  ")</f>
        <v>  </v>
      </c>
      <c r="C25" s="105" t="str">
        <f>IF(inputPrYr!D85&gt;0,inputPrYr!D85,"  ")</f>
        <v>  </v>
      </c>
      <c r="D25" s="40" t="str">
        <f>IF('na levy page11'!$E$65&gt;0,'na levy page11'!$E$65,"  ")</f>
        <v>  </v>
      </c>
      <c r="E25" s="105" t="str">
        <f>IF(inputOth!D27&gt;0,inputOth!D27,"  ")</f>
        <v>  </v>
      </c>
      <c r="F25" s="40" t="str">
        <f>IF('na levy page11'!$G$65&gt;0,'na levy page11'!$G$65,"  ")</f>
        <v>  </v>
      </c>
      <c r="G25" s="40" t="str">
        <f>IF('na levy page11'!$G$71&lt;&gt;0,'na levy page11'!$G$71,"  ")</f>
        <v>  </v>
      </c>
      <c r="H25" s="105" t="str">
        <f>IF('na levy page11'!G71&lt;&gt;0,ROUND(G25/$F$55*1000,3),"  ")</f>
        <v>  </v>
      </c>
    </row>
    <row r="26" spans="1:8" ht="15.75">
      <c r="A26" s="40" t="str">
        <f>IF(inputPrYr!$B25&gt;"  ",(inputPrYr!$B25),"  ")</f>
        <v>  </v>
      </c>
      <c r="B26" s="40" t="str">
        <f>IF('levy page1na 2'!$C$31&gt;0,'levy page1na 2'!$C$31,"  ")</f>
        <v>  </v>
      </c>
      <c r="C26" s="105" t="str">
        <f>IF(inputPrYr!D86&gt;0,inputPrYr!D86,"  ")</f>
        <v>  </v>
      </c>
      <c r="D26" s="40" t="str">
        <f>IF('levy page1na 2'!$E$31&gt;0,'levy page1na 2'!$E$31,"  ")</f>
        <v>  </v>
      </c>
      <c r="E26" s="105" t="str">
        <f>IF(inputOth!D28&gt;0,inputOth!D28,"  ")</f>
        <v>  </v>
      </c>
      <c r="F26" s="40" t="str">
        <f>IF('levy page1na 2'!$G$31&gt;0,'levy page1na 2'!$G$31,"  ")</f>
        <v>  </v>
      </c>
      <c r="G26" s="40" t="str">
        <f>IF('levy page1na 2'!$G$37&lt;&gt;0,'levy page1na 2'!$G$37,"  ")</f>
        <v>  </v>
      </c>
      <c r="H26" s="105" t="str">
        <f>IF('levy page1na 2'!G37&lt;&gt;0,ROUND(G26/$F$55*1000,3),"  ")</f>
        <v>  </v>
      </c>
    </row>
    <row r="27" spans="1:8" ht="15.75">
      <c r="A27" s="40" t="str">
        <f>IF(inputPrYr!$B26&gt;"  ",(inputPrYr!$B26),"  ")</f>
        <v>  </v>
      </c>
      <c r="B27" s="40" t="str">
        <f>IF('levy page1na 2'!$C$66&gt;0,'levy page1na 2'!$C$66,"  ")</f>
        <v>  </v>
      </c>
      <c r="C27" s="105" t="str">
        <f>IF(inputPrYr!D87&gt;0,inputPrYr!D87,"  ")</f>
        <v>  </v>
      </c>
      <c r="D27" s="40" t="str">
        <f>IF('levy page1na 2'!$E$66&gt;0,'levy page1na 2'!$E$66,"  ")</f>
        <v>  </v>
      </c>
      <c r="E27" s="105" t="str">
        <f>IF(inputOth!D29&gt;0,inputOth!D29,"  ")</f>
        <v>  </v>
      </c>
      <c r="F27" s="40" t="str">
        <f>IF('levy page1na 2'!$G$66&gt;0,'levy page1na 2'!$G$66,"  ")</f>
        <v>  </v>
      </c>
      <c r="G27" s="40" t="str">
        <f>IF('levy page1na 2'!$G$72&lt;&gt;0,'levy page1na 2'!$G$72,"  ")</f>
        <v>  </v>
      </c>
      <c r="H27" s="105" t="str">
        <f>IF('levy page1na 2'!G72&lt;&gt;0,ROUND(G27/$F$55*1000,3),"  ")</f>
        <v>  </v>
      </c>
    </row>
    <row r="28" spans="1:8" ht="15.75">
      <c r="A28" s="40" t="str">
        <f>IF(inputPrYr!$B27&gt;"  ",(inputPrYr!$B27),"  ")</f>
        <v>  </v>
      </c>
      <c r="B28" s="40" t="str">
        <f>IF('na levy page13'!$C$31&gt;0,'na levy page13'!$C$31,"  ")</f>
        <v>  </v>
      </c>
      <c r="C28" s="105" t="str">
        <f>IF(inputPrYr!D88&gt;0,inputPrYr!D88,"  ")</f>
        <v>  </v>
      </c>
      <c r="D28" s="40" t="str">
        <f>IF('na levy page13'!$E$31&gt;0,'na levy page13'!$E$31,"  ")</f>
        <v>  </v>
      </c>
      <c r="E28" s="105" t="str">
        <f>IF(inputOth!D30&gt;0,inputOth!D30,"  ")</f>
        <v>  </v>
      </c>
      <c r="F28" s="40" t="str">
        <f>IF('na levy page13'!$G$31&gt;0,'na levy page13'!$G$31,"  ")</f>
        <v>  </v>
      </c>
      <c r="G28" s="40" t="str">
        <f>IF('na levy page13'!$G$37&lt;&gt;0,'na levy page13'!$G$37,"  ")</f>
        <v>  </v>
      </c>
      <c r="H28" s="105" t="str">
        <f>IF('na levy page13'!G37&lt;&gt;0,ROUND(G28/$F$55*1000,3),"  ")</f>
        <v>  </v>
      </c>
    </row>
    <row r="29" spans="1:8" ht="15.75">
      <c r="A29" s="40" t="str">
        <f>IF(inputPrYr!$B28&gt;"  ",(inputPrYr!$B28),"  ")</f>
        <v>  </v>
      </c>
      <c r="B29" s="40" t="str">
        <f>IF('na levy page13'!$C$66&gt;0,'na levy page13'!$C$66,"  ")</f>
        <v>  </v>
      </c>
      <c r="C29" s="105" t="str">
        <f>IF(inputPrYr!D89&gt;0,inputPrYr!D89,"  ")</f>
        <v>  </v>
      </c>
      <c r="D29" s="40" t="str">
        <f>IF('na levy page13'!$E$66&gt;0,'na levy page13'!$E$66,"  ")</f>
        <v>  </v>
      </c>
      <c r="E29" s="105" t="str">
        <f>IF(inputOth!D31&gt;0,inputOth!D31,"  ")</f>
        <v>  </v>
      </c>
      <c r="F29" s="40" t="str">
        <f>IF('na levy page13'!$G$66&gt;0,'na levy page13'!$G$66,"  ")</f>
        <v>  </v>
      </c>
      <c r="G29" s="40" t="str">
        <f>IF('na levy page13'!$G$72&lt;&gt;0,'na levy page13'!$G$72,"  ")</f>
        <v>  </v>
      </c>
      <c r="H29" s="105" t="str">
        <f>IF('na levy page13'!G72&lt;&gt;0,ROUND(G29/$F$55*1000,3),"  ")</f>
        <v>  </v>
      </c>
    </row>
    <row r="30" spans="1:8" ht="15.75">
      <c r="A30" s="40" t="str">
        <f>IF(inputPrYr!$B32&gt;"  ",(inputPrYr!$B32),"  ")</f>
        <v>Special Highway</v>
      </c>
      <c r="B30" s="40">
        <f>IF('Sp Hiway-C&amp;T'!$C$30&gt;0,'Sp Hiway-C&amp;T'!$C$30,"  ")</f>
        <v>298166.74</v>
      </c>
      <c r="C30" s="42"/>
      <c r="D30" s="40">
        <f>IF('Sp Hiway-C&amp;T'!$D$30&gt;0,'Sp Hiway-C&amp;T'!$D$30,"  ")</f>
        <v>328620</v>
      </c>
      <c r="E30" s="42"/>
      <c r="F30" s="40">
        <f>IF('Sp Hiway-C&amp;T'!$E$30&gt;0,'Sp Hiway-C&amp;T'!$E$30,"  ")</f>
        <v>482957</v>
      </c>
      <c r="G30" s="40"/>
      <c r="H30" s="105"/>
    </row>
    <row r="31" spans="1:8" ht="15.75">
      <c r="A31" s="40" t="str">
        <f>IF(inputPrYr!$B33&gt;"  ",(inputPrYr!$B33),"  ")</f>
        <v>Convention &amp; Tourism</v>
      </c>
      <c r="B31" s="40">
        <f>IF('Sp Hiway-C&amp;T'!$C$61&gt;0,'Sp Hiway-C&amp;T'!$C$61,"  ")</f>
        <v>180180</v>
      </c>
      <c r="C31" s="42"/>
      <c r="D31" s="40">
        <f>IF('Sp Hiway-C&amp;T'!$D$61&gt;0,'Sp Hiway-C&amp;T'!$D$61,"  ")</f>
        <v>256000</v>
      </c>
      <c r="E31" s="42"/>
      <c r="F31" s="40">
        <f>IF('Sp Hiway-C&amp;T'!$E$61&gt;0,'Sp Hiway-C&amp;T'!$E$61,"  ")</f>
        <v>585000</v>
      </c>
      <c r="G31" s="40"/>
      <c r="H31" s="105"/>
    </row>
    <row r="32" spans="1:8" ht="15.75">
      <c r="A32" s="40" t="str">
        <f>IF(inputPrYr!$B34&gt;"  ",(inputPrYr!$B34),"  ")</f>
        <v>Special Alcohol/Drug(Police)</v>
      </c>
      <c r="B32" s="40">
        <f>IF('Spec Drug &amp; Alcohol'!$C$28&gt;0,'Spec Drug &amp; Alcohol'!$C$28,"  ")</f>
        <v>600</v>
      </c>
      <c r="C32" s="42"/>
      <c r="D32" s="40">
        <f>IF('Spec Drug &amp; Alcohol'!$D$28&gt;0,'Spec Drug &amp; Alcohol'!$D$28,"  ")</f>
        <v>18000</v>
      </c>
      <c r="E32" s="42"/>
      <c r="F32" s="40">
        <f>IF('Spec Drug &amp; Alcohol'!$E$28&gt;0,'Spec Drug &amp; Alcohol'!$E$28,"  ")</f>
        <v>12500</v>
      </c>
      <c r="G32" s="40"/>
      <c r="H32" s="105"/>
    </row>
    <row r="33" spans="1:8" ht="15.75">
      <c r="A33" s="40" t="str">
        <f>IF(inputPrYr!$B35&gt;"  ",(inputPrYr!$B35),"  ")</f>
        <v>Special Alcohol (Park)</v>
      </c>
      <c r="B33" s="40">
        <f>IF('Spec Drug &amp; Alcohol'!$C$59&gt;0,'Spec Drug &amp; Alcohol'!$C$59,"  ")</f>
        <v>4973</v>
      </c>
      <c r="C33" s="42"/>
      <c r="D33" s="40">
        <f>IF('Spec Drug &amp; Alcohol'!$D$59&gt;0,'Spec Drug &amp; Alcohol'!$D$59,"  ")</f>
        <v>11595.19</v>
      </c>
      <c r="E33" s="42"/>
      <c r="F33" s="40">
        <f>IF('Spec Drug &amp; Alcohol'!$E$59&gt;0,'Spec Drug &amp; Alcohol'!$E$59,"  ")</f>
        <v>15900</v>
      </c>
      <c r="G33" s="40"/>
      <c r="H33" s="105"/>
    </row>
    <row r="34" spans="1:8" ht="15.75">
      <c r="A34" s="40" t="str">
        <f>IF(inputPrYr!$B36&gt;"  ",(inputPrYr!$B36),"  ")</f>
        <v>Police &amp; Court Training</v>
      </c>
      <c r="B34" s="40">
        <f>IF('Pol Training &amp; Solid Waste'!$C$28&gt;0,'Pol Training &amp; Solid Waste'!$C$28,"  ")</f>
        <v>13591.6</v>
      </c>
      <c r="C34" s="42"/>
      <c r="D34" s="40">
        <f>IF('Pol Training &amp; Solid Waste'!$D$28&gt;0,'Pol Training &amp; Solid Waste'!$D$28,"  ")</f>
        <v>34000</v>
      </c>
      <c r="E34" s="42"/>
      <c r="F34" s="40">
        <f>IF('Pol Training &amp; Solid Waste'!$E$28&gt;0,'Pol Training &amp; Solid Waste'!$E$28,"  ")</f>
        <v>26000</v>
      </c>
      <c r="G34" s="42"/>
      <c r="H34" s="42"/>
    </row>
    <row r="35" spans="1:8" ht="15.75">
      <c r="A35" s="40" t="str">
        <f>IF(inputPrYr!$B37&gt;"  ",(inputPrYr!$B37),"  ")</f>
        <v>Solid Waste Utility Fund</v>
      </c>
      <c r="B35" s="40">
        <f>IF('Pol Training &amp; Solid Waste'!$C$59&gt;0,'Pol Training &amp; Solid Waste'!$C$59,"  ")</f>
        <v>233101</v>
      </c>
      <c r="C35" s="42"/>
      <c r="D35" s="40">
        <f>IF('Pol Training &amp; Solid Waste'!$D$59&gt;0,'Pol Training &amp; Solid Waste'!$D$59,"  ")</f>
        <v>484500</v>
      </c>
      <c r="E35" s="42"/>
      <c r="F35" s="40">
        <f>IF('Pol Training &amp; Solid Waste'!$E$59&gt;0,'Pol Training &amp; Solid Waste'!$E$59,"  ")</f>
        <v>511000</v>
      </c>
      <c r="G35" s="42"/>
      <c r="H35" s="42"/>
    </row>
    <row r="36" spans="1:8" ht="15.75">
      <c r="A36" s="40" t="str">
        <f>IF(inputPrYr!$B38&gt;"  ",(inputPrYr!$B38),"  ")</f>
        <v>Sewer Special Reserve Funds</v>
      </c>
      <c r="B36" s="40">
        <f>IF('Spec Utility Reserves'!$C$28&gt;0,'Spec Utility Reserves'!$C$28,"  ")</f>
        <v>13700</v>
      </c>
      <c r="C36" s="42"/>
      <c r="D36" s="40">
        <f>IF('Spec Utility Reserves'!$D$28&gt;0,'Spec Utility Reserves'!$D$28,"  ")</f>
        <v>185000</v>
      </c>
      <c r="E36" s="42"/>
      <c r="F36" s="40">
        <f>IF('Spec Utility Reserves'!$E$28&gt;0,'Spec Utility Reserves'!$E$28,"  ")</f>
        <v>260000</v>
      </c>
      <c r="G36" s="42"/>
      <c r="H36" s="42"/>
    </row>
    <row r="37" spans="1:8" ht="15.75">
      <c r="A37" s="40" t="str">
        <f>IF(inputPrYr!$B39&gt;"  ",(inputPrYr!$B39),"  ")</f>
        <v>Water Special Reserve Funds</v>
      </c>
      <c r="B37" s="40" t="str">
        <f>IF('Spec Utility Reserves'!$C$59&gt;0,'Spec Utility Reserves'!$C$59,"  ")</f>
        <v>  </v>
      </c>
      <c r="C37" s="42"/>
      <c r="D37" s="40">
        <f>IF('Spec Utility Reserves'!$D$59&gt;0,'Spec Utility Reserves'!$D$59,"  ")</f>
        <v>109779</v>
      </c>
      <c r="E37" s="42"/>
      <c r="F37" s="40">
        <f>IF('Spec Utility Reserves'!$E$59&gt;0,'Spec Utility Reserves'!$E$59,"  ")</f>
        <v>350000</v>
      </c>
      <c r="G37" s="42"/>
      <c r="H37" s="42"/>
    </row>
    <row r="38" spans="1:8" ht="15.75">
      <c r="A38" s="40" t="str">
        <f>IF(inputPrYr!$B40&gt;"  ",(inputPrYr!$B40),"  ")</f>
        <v>CCUA Water/Sewer Fund</v>
      </c>
      <c r="B38" s="40" t="str">
        <f>IF('CCUA no levy page 18'!$C$28&gt;0,'CCUA no levy page 18'!$C$28,"  ")</f>
        <v>  </v>
      </c>
      <c r="C38" s="42"/>
      <c r="D38" s="40" t="str">
        <f>IF('CCUA no levy page 18'!$D$28&gt;0,'CCUA no levy page 18'!$D$28,"  ")</f>
        <v>  </v>
      </c>
      <c r="E38" s="42"/>
      <c r="F38" s="40" t="str">
        <f>IF('CCUA no levy page 18'!$E$28&gt;0,'CCUA no levy page 18'!$E$28,"  ")</f>
        <v>  </v>
      </c>
      <c r="G38" s="42"/>
      <c r="H38" s="42"/>
    </row>
    <row r="39" spans="1:8" ht="15.75">
      <c r="A39" s="40" t="str">
        <f>IF(inputPrYr!$B41&gt;"  ",(inputPrYr!$B41),"  ")</f>
        <v>  </v>
      </c>
      <c r="B39" s="40" t="str">
        <f>IF('CCUA no levy page 18'!$C$59&gt;0,'CCUA no levy page 18'!$C$59,"  ")</f>
        <v>  </v>
      </c>
      <c r="C39" s="42"/>
      <c r="D39" s="40" t="str">
        <f>IF('CCUA no levy page 18'!$D$59&gt;0,'CCUA no levy page 18'!$D$59,"  ")</f>
        <v>  </v>
      </c>
      <c r="E39" s="42"/>
      <c r="F39" s="40" t="str">
        <f>IF('CCUA no levy page 18'!$E$59&gt;0,'CCUA no levy page 18'!$E$59,"  ")</f>
        <v>  </v>
      </c>
      <c r="G39" s="42"/>
      <c r="H39" s="42"/>
    </row>
    <row r="40" spans="1:8" ht="15.75">
      <c r="A40" s="40" t="str">
        <f>IF(inputPrYr!$B42&gt;"  ",(inputPrYr!$B42),"  ")</f>
        <v>  </v>
      </c>
      <c r="B40" s="40" t="str">
        <f>IF('no levy page19'!$C$28&gt;0,'no levy page19'!$C$28,"  ")</f>
        <v>  </v>
      </c>
      <c r="C40" s="42"/>
      <c r="D40" s="40" t="str">
        <f>IF('no levy page19'!$D$28&gt;0,'no levy page19'!$D$28,"  ")</f>
        <v>  </v>
      </c>
      <c r="E40" s="42"/>
      <c r="F40" s="40" t="str">
        <f>IF('no levy page19'!$E$28&gt;0,'no levy page19'!$E$28,"  ")</f>
        <v>  </v>
      </c>
      <c r="G40" s="42"/>
      <c r="H40" s="42"/>
    </row>
    <row r="41" spans="1:8" ht="15.75">
      <c r="A41" s="40" t="str">
        <f>IF(inputPrYr!$B43&gt;"  ",(inputPrYr!$B43),"  ")</f>
        <v>  </v>
      </c>
      <c r="B41" s="40" t="str">
        <f>IF('no levy page19'!$C$59&gt;0,'no levy page19'!$C$59,"  ")</f>
        <v>  </v>
      </c>
      <c r="C41" s="42"/>
      <c r="D41" s="40" t="str">
        <f>IF('no levy page19'!$D$59&gt;0,'no levy page19'!$D$59,"  ")</f>
        <v>  </v>
      </c>
      <c r="E41" s="42"/>
      <c r="F41" s="40" t="str">
        <f>IF('no levy page19'!$E$59&gt;0,'no levy page19'!$E$59,"  ")</f>
        <v>  </v>
      </c>
      <c r="G41" s="42"/>
      <c r="H41" s="42"/>
    </row>
    <row r="42" spans="1:8" ht="15.75">
      <c r="A42" s="40" t="str">
        <f>IF(inputPrYr!$B45&gt;"  ",(inputPrYr!$B45),"  ")</f>
        <v>Sewer Utility</v>
      </c>
      <c r="B42" s="40">
        <f>IF('SinNoLevy20-Sewer'!$C$52&gt;0,'SinNoLevy20-Sewer'!$C$52,"  ")</f>
        <v>1089292.4100000001</v>
      </c>
      <c r="C42" s="42"/>
      <c r="D42" s="40">
        <f>IF('SinNoLevy20-Sewer'!$D$52&gt;0,'SinNoLevy20-Sewer'!$D$52,"  ")</f>
        <v>1240286</v>
      </c>
      <c r="E42" s="42"/>
      <c r="F42" s="40">
        <f>IF('SinNoLevy20-Sewer'!$E$52&gt;0,'SinNoLevy20-Sewer'!$E$52,"  ")</f>
        <v>1363516.0035</v>
      </c>
      <c r="G42" s="42"/>
      <c r="H42" s="42"/>
    </row>
    <row r="43" spans="1:8" ht="15.75">
      <c r="A43" s="40" t="str">
        <f>IF(inputPrYr!$B46&gt;"  ",(inputPrYr!$B46),"  ")</f>
        <v>Water Utility</v>
      </c>
      <c r="B43" s="40">
        <f>IF('SinNoLevy21-Water'!$C$61&gt;0,'SinNoLevy21-Water'!$C$61,"  ")</f>
        <v>7395850.47</v>
      </c>
      <c r="C43" s="42"/>
      <c r="D43" s="40">
        <f>IF('SinNoLevy21-Water'!$D$61&gt;0,'SinNoLevy21-Water'!$D$61,"  ")</f>
        <v>1418771</v>
      </c>
      <c r="E43" s="42"/>
      <c r="F43" s="40">
        <f>IF('SinNoLevy21-Water'!$E$61&gt;0,'SinNoLevy21-Water'!$E$61,"  ")</f>
        <v>1522368</v>
      </c>
      <c r="G43" s="42"/>
      <c r="H43" s="42"/>
    </row>
    <row r="44" spans="1:8" ht="15.75">
      <c r="A44" s="40" t="str">
        <f>IF(inputPrYr!$B47&gt;"  ",(inputPrYr!$B47),"  ")</f>
        <v>Roving Senior Director Trust</v>
      </c>
      <c r="B44" s="40">
        <f>IF('SinNoLevy22-Sr Dir'!$C$47&gt;0,'SinNoLevy22-Sr Dir'!$C$47,"  ")</f>
        <v>38733.99</v>
      </c>
      <c r="C44" s="42"/>
      <c r="D44" s="40">
        <f>IF('SinNoLevy22-Sr Dir'!$D$47&gt;0,'SinNoLevy22-Sr Dir'!$D$47,"  ")</f>
        <v>42140</v>
      </c>
      <c r="E44" s="42"/>
      <c r="F44" s="40">
        <f>IF('SinNoLevy22-Sr Dir'!$E$47&gt;0,'SinNoLevy22-Sr Dir'!$E$47,"  ")</f>
        <v>42981.6687</v>
      </c>
      <c r="G44" s="42"/>
      <c r="H44" s="42"/>
    </row>
    <row r="45" spans="1:8" ht="15.75">
      <c r="A45" s="40" t="str">
        <f>IF(inputPrYr!$B48&gt;"  ",(inputPrYr!$B48),"  ")</f>
        <v>  </v>
      </c>
      <c r="B45" s="40" t="str">
        <f>IF(SinNoLevy23!$C$47&gt;0,SinNoLevy23!$C$47,"  ")</f>
        <v>  </v>
      </c>
      <c r="C45" s="42"/>
      <c r="D45" s="40" t="str">
        <f>IF(SinNoLevy23!$D$47&gt;0,SinNoLevy23!$D$47,"  ")</f>
        <v>  </v>
      </c>
      <c r="E45" s="42"/>
      <c r="F45" s="40" t="str">
        <f>IF(SinNoLevy23!$E$47&gt;0,SinNoLevy23!$E$47,"  ")</f>
        <v>  </v>
      </c>
      <c r="G45" s="42"/>
      <c r="H45" s="42"/>
    </row>
    <row r="46" spans="1:8" ht="15.75">
      <c r="A46" s="40" t="str">
        <f>IF(inputPrYr!$B51&gt;"  ",(NonBudA!$A3),"  ")</f>
        <v>Non-Budgeted Funds-A</v>
      </c>
      <c r="B46" s="40">
        <f>IF(NonBudA!$K$28&gt;0,NonBudA!$K$28,"  ")</f>
        <v>9204844.34</v>
      </c>
      <c r="C46" s="42"/>
      <c r="D46" s="40"/>
      <c r="E46" s="42"/>
      <c r="F46" s="40"/>
      <c r="G46" s="42"/>
      <c r="H46" s="42"/>
    </row>
    <row r="47" spans="1:8" ht="15.75">
      <c r="A47" s="40" t="str">
        <f>IF(inputPrYr!$B57&gt;"  ",(NonBudB!$A3),"  ")</f>
        <v>Non-Budgeted Funds-B</v>
      </c>
      <c r="B47" s="40">
        <f>IF(NonBudB!$K$28&gt;0,NonBudB!$K$28,"  ")</f>
        <v>110823</v>
      </c>
      <c r="C47" s="42"/>
      <c r="D47" s="40"/>
      <c r="E47" s="42"/>
      <c r="F47" s="40"/>
      <c r="G47" s="42"/>
      <c r="H47" s="42"/>
    </row>
    <row r="48" spans="1:8" ht="15.75">
      <c r="A48" s="40" t="str">
        <f>IF(inputPrYr!$B63&gt;"  ",(NonBudC!$A3),"  ")</f>
        <v>Non-Budgeted Funds-C</v>
      </c>
      <c r="B48" s="40">
        <f>IF(NonBudC!$K$28&gt;0,NonBudC!$K$28,"  ")</f>
        <v>208778</v>
      </c>
      <c r="C48" s="42"/>
      <c r="D48" s="40"/>
      <c r="E48" s="42"/>
      <c r="F48" s="40"/>
      <c r="G48" s="42"/>
      <c r="H48" s="42"/>
    </row>
    <row r="49" spans="1:8" ht="15.75">
      <c r="A49" s="40" t="str">
        <f>IF(inputPrYr!$B69&gt;"  ",(NonBudD!$A3),"  ")</f>
        <v>Non-Budgeted Funds-D</v>
      </c>
      <c r="B49" s="40">
        <f>IF(NonBudD!$K$28&gt;0,NonBudD!$K$28,"  ")</f>
        <v>122419.94</v>
      </c>
      <c r="C49" s="42"/>
      <c r="D49" s="40"/>
      <c r="E49" s="42"/>
      <c r="F49" s="40"/>
      <c r="G49" s="42"/>
      <c r="H49" s="42"/>
    </row>
    <row r="50" spans="1:8" ht="15.75">
      <c r="A50" s="44" t="s">
        <v>143</v>
      </c>
      <c r="B50" s="40">
        <f>SUM(B18:B49)</f>
        <v>24999468.53</v>
      </c>
      <c r="C50" s="105">
        <f>SUM(C18:C29)</f>
        <v>37.145</v>
      </c>
      <c r="D50" s="40">
        <f>SUM(D18:D49)</f>
        <v>10913398.190000001</v>
      </c>
      <c r="E50" s="105">
        <f>SUM(E18:E29)</f>
        <v>37.45</v>
      </c>
      <c r="F50" s="40">
        <f>SUM(F18:F49)</f>
        <v>12968716.6522</v>
      </c>
      <c r="G50" s="40">
        <f>SUM(G18:G49)</f>
        <v>2063524.63</v>
      </c>
      <c r="H50" s="105">
        <f>SUM(H18:H29)</f>
        <v>37.863</v>
      </c>
    </row>
    <row r="51" spans="1:8" ht="15.75">
      <c r="A51" s="25" t="s">
        <v>186</v>
      </c>
      <c r="B51" s="120">
        <f>transfers!C45</f>
        <v>7274207</v>
      </c>
      <c r="C51" s="72"/>
      <c r="D51" s="120">
        <f>transfers!D45</f>
        <v>1131745</v>
      </c>
      <c r="E51" s="72"/>
      <c r="F51" s="120">
        <f>transfers!E45</f>
        <v>1345533</v>
      </c>
      <c r="G51" s="21"/>
      <c r="H51" s="21"/>
    </row>
    <row r="52" spans="1:8" ht="16.5" thickBot="1">
      <c r="A52" s="25" t="s">
        <v>187</v>
      </c>
      <c r="B52" s="73">
        <f>B50-B51</f>
        <v>17725261.53</v>
      </c>
      <c r="C52" s="21"/>
      <c r="D52" s="73">
        <f>D50-D51</f>
        <v>9781653.190000001</v>
      </c>
      <c r="E52" s="94"/>
      <c r="F52" s="73">
        <f>F50-F51</f>
        <v>11623183.6522</v>
      </c>
      <c r="G52" s="21"/>
      <c r="H52" s="21"/>
    </row>
    <row r="53" spans="1:8" ht="16.5" thickTop="1">
      <c r="A53" s="25" t="s">
        <v>188</v>
      </c>
      <c r="B53" s="120">
        <f>inputPrYr!E92</f>
        <v>1891448</v>
      </c>
      <c r="C53" s="106"/>
      <c r="D53" s="120">
        <f>inputPrYr!E29</f>
        <v>1971113</v>
      </c>
      <c r="E53" s="106"/>
      <c r="F53" s="121" t="s">
        <v>144</v>
      </c>
      <c r="G53" s="21"/>
      <c r="H53" s="21"/>
    </row>
    <row r="54" spans="1:8" ht="15.75">
      <c r="A54" s="25" t="s">
        <v>189</v>
      </c>
      <c r="B54" s="39"/>
      <c r="C54" s="21"/>
      <c r="D54" s="39"/>
      <c r="E54" s="21"/>
      <c r="F54" s="39"/>
      <c r="G54" s="21"/>
      <c r="H54" s="21"/>
    </row>
    <row r="55" spans="1:8" ht="15.75">
      <c r="A55" s="25" t="s">
        <v>190</v>
      </c>
      <c r="B55" s="120">
        <f>inputPrYr!E93</f>
        <v>50921651</v>
      </c>
      <c r="C55" s="21"/>
      <c r="D55" s="120">
        <f>inputOth!E34</f>
        <v>52633194</v>
      </c>
      <c r="E55" s="21"/>
      <c r="F55" s="120">
        <v>54499845</v>
      </c>
      <c r="G55" s="21"/>
      <c r="H55" s="21"/>
    </row>
    <row r="56" spans="1:8" ht="13.5" customHeight="1">
      <c r="A56" s="21"/>
      <c r="B56" s="21"/>
      <c r="C56" s="21"/>
      <c r="D56" s="21"/>
      <c r="E56" s="21"/>
      <c r="F56" s="21"/>
      <c r="G56" s="21"/>
      <c r="H56" s="21"/>
    </row>
    <row r="57" spans="1:8" ht="15.75">
      <c r="A57" s="25" t="s">
        <v>191</v>
      </c>
      <c r="B57" s="21"/>
      <c r="C57" s="21"/>
      <c r="D57" s="21"/>
      <c r="E57" s="21"/>
      <c r="F57" s="21"/>
      <c r="G57" s="21"/>
      <c r="H57" s="21"/>
    </row>
    <row r="58" spans="1:8" ht="18.75" customHeight="1">
      <c r="A58" s="25" t="s">
        <v>192</v>
      </c>
      <c r="B58" s="107">
        <f>H2-3</f>
        <v>2007</v>
      </c>
      <c r="C58" s="21"/>
      <c r="D58" s="107">
        <f>H2-2</f>
        <v>2008</v>
      </c>
      <c r="E58" s="21"/>
      <c r="F58" s="107">
        <f>H2-1</f>
        <v>2009</v>
      </c>
      <c r="G58" s="21"/>
      <c r="H58" s="21"/>
    </row>
    <row r="59" spans="1:8" ht="18.75" customHeight="1">
      <c r="A59" s="25" t="s">
        <v>193</v>
      </c>
      <c r="B59" s="193">
        <f>inputPrYr!D97</f>
        <v>20415000</v>
      </c>
      <c r="C59" s="133"/>
      <c r="D59" s="193">
        <f>inputPrYr!E97</f>
        <v>20420000</v>
      </c>
      <c r="E59" s="133"/>
      <c r="F59" s="193">
        <f>debt!F24</f>
        <v>24370000</v>
      </c>
      <c r="G59" s="21"/>
      <c r="H59" s="21"/>
    </row>
    <row r="60" spans="1:8" ht="18.75" customHeight="1">
      <c r="A60" s="25" t="s">
        <v>194</v>
      </c>
      <c r="B60" s="193">
        <f>inputPrYr!D98</f>
        <v>0</v>
      </c>
      <c r="C60" s="133"/>
      <c r="D60" s="193">
        <f>inputPrYr!E98</f>
        <v>0</v>
      </c>
      <c r="E60" s="133"/>
      <c r="F60" s="194">
        <f>debt!F29</f>
        <v>0</v>
      </c>
      <c r="G60" s="21"/>
      <c r="H60" s="21"/>
    </row>
    <row r="61" spans="1:8" ht="18.75" customHeight="1">
      <c r="A61" s="21" t="s">
        <v>213</v>
      </c>
      <c r="B61" s="193">
        <f>inputPrYr!D99</f>
        <v>4400000</v>
      </c>
      <c r="C61" s="133"/>
      <c r="D61" s="193">
        <f>inputPrYr!E99</f>
        <v>8485380</v>
      </c>
      <c r="E61" s="133"/>
      <c r="F61" s="194">
        <f>debt!F36</f>
        <v>4055000</v>
      </c>
      <c r="G61" s="21"/>
      <c r="H61" s="21"/>
    </row>
    <row r="62" spans="1:8" ht="18" customHeight="1">
      <c r="A62" s="25" t="s">
        <v>297</v>
      </c>
      <c r="B62" s="193">
        <f>inputPrYr!D100</f>
        <v>228758</v>
      </c>
      <c r="C62" s="133"/>
      <c r="D62" s="193">
        <f>inputPrYr!E100</f>
        <v>400223</v>
      </c>
      <c r="E62" s="133"/>
      <c r="F62" s="194">
        <f>lpform!F28</f>
        <v>379661.843</v>
      </c>
      <c r="G62" s="21"/>
      <c r="H62" s="21"/>
    </row>
    <row r="63" spans="1:8" ht="19.5" customHeight="1" thickBot="1">
      <c r="A63" s="25" t="s">
        <v>195</v>
      </c>
      <c r="B63" s="195">
        <f>SUM(B59:B62)</f>
        <v>25043758</v>
      </c>
      <c r="C63" s="133"/>
      <c r="D63" s="195">
        <f>SUM(D59:D62)</f>
        <v>29305603</v>
      </c>
      <c r="E63" s="133"/>
      <c r="F63" s="195">
        <f>SUM(F59:F62)</f>
        <v>28804661.843</v>
      </c>
      <c r="G63" s="21"/>
      <c r="H63" s="21"/>
    </row>
    <row r="64" spans="1:8" ht="18.75" customHeight="1" thickTop="1">
      <c r="A64" s="25" t="s">
        <v>196</v>
      </c>
      <c r="B64" s="21"/>
      <c r="C64" s="21"/>
      <c r="D64" s="21"/>
      <c r="E64" s="21"/>
      <c r="F64" s="21"/>
      <c r="G64" s="21"/>
      <c r="H64" s="21"/>
    </row>
    <row r="65" spans="1:8" ht="15.75">
      <c r="A65" s="21"/>
      <c r="B65" s="21"/>
      <c r="C65" s="21"/>
      <c r="D65" s="21"/>
      <c r="E65" s="21"/>
      <c r="F65" s="21"/>
      <c r="G65" s="21"/>
      <c r="H65" s="21"/>
    </row>
    <row r="66" spans="1:8" ht="15.75">
      <c r="A66" s="31"/>
      <c r="B66" s="31"/>
      <c r="C66" s="20"/>
      <c r="D66" s="21"/>
      <c r="E66" s="21"/>
      <c r="F66" s="21"/>
      <c r="G66" s="21"/>
      <c r="H66" s="21"/>
    </row>
    <row r="67" spans="1:8" ht="15.75">
      <c r="A67" s="24" t="s">
        <v>347</v>
      </c>
      <c r="B67" s="504" t="s">
        <v>684</v>
      </c>
      <c r="C67" s="505"/>
      <c r="D67" s="21"/>
      <c r="E67" s="21"/>
      <c r="F67" s="21"/>
      <c r="G67" s="21"/>
      <c r="H67" s="21"/>
    </row>
    <row r="68" spans="1:8" ht="15.75">
      <c r="A68" s="21"/>
      <c r="B68" s="21"/>
      <c r="C68" s="21"/>
      <c r="D68" s="21"/>
      <c r="E68" s="21"/>
      <c r="F68" s="21"/>
      <c r="G68" s="21"/>
      <c r="H68" s="21"/>
    </row>
    <row r="69" spans="1:8" ht="15.75">
      <c r="A69" s="21"/>
      <c r="B69" s="21"/>
      <c r="C69" s="23" t="s">
        <v>167</v>
      </c>
      <c r="D69" s="100">
        <v>23</v>
      </c>
      <c r="E69" s="21"/>
      <c r="F69" s="21"/>
      <c r="G69" s="21"/>
      <c r="H69" s="21"/>
    </row>
  </sheetData>
  <sheetProtection sheet="1"/>
  <mergeCells count="8">
    <mergeCell ref="B67:C67"/>
    <mergeCell ref="A1:H1"/>
    <mergeCell ref="A4:H4"/>
    <mergeCell ref="A5:H5"/>
    <mergeCell ref="A6:H6"/>
    <mergeCell ref="A8:H8"/>
    <mergeCell ref="A9:H9"/>
    <mergeCell ref="A3:H3"/>
  </mergeCells>
  <printOptions/>
  <pageMargins left="0.5" right="0.5" top="1" bottom="0.5" header="0.5" footer="0.5"/>
  <pageSetup blackAndWhite="1" fitToHeight="1" fitToWidth="1" horizontalDpi="120" verticalDpi="120" orientation="portrait" scale="61" r:id="rId1"/>
  <headerFooter alignWithMargins="0">
    <oddHeader>&amp;RState of Kansas
City</oddHeader>
    <oddFooter>&amp;Lrevised 5/08/08</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2" sqref="B2"/>
    </sheetView>
  </sheetViews>
  <sheetFormatPr defaultColWidth="8.796875" defaultRowHeight="15"/>
  <cols>
    <col min="1" max="1" width="28.296875" style="2" customWidth="1"/>
    <col min="2" max="3" width="15.796875" style="2" customWidth="1"/>
    <col min="4" max="4" width="16.09765625" style="2" customWidth="1"/>
    <col min="5" max="16384" width="8.8984375" style="2" customWidth="1"/>
  </cols>
  <sheetData>
    <row r="1" spans="1:4" ht="15.75">
      <c r="A1" s="72" t="str">
        <f>inputPrYr!D2</f>
        <v>CITY OF PARK CITY</v>
      </c>
      <c r="B1" s="21"/>
      <c r="C1" s="92"/>
      <c r="D1" s="21">
        <f>inputPrYr!C5</f>
        <v>2010</v>
      </c>
    </row>
    <row r="2" spans="1:4" ht="15.75">
      <c r="A2" s="21"/>
      <c r="B2" s="21"/>
      <c r="C2" s="21"/>
      <c r="D2" s="92"/>
    </row>
    <row r="3" spans="1:4" ht="15.75">
      <c r="A3" s="90"/>
      <c r="B3" s="98"/>
      <c r="C3" s="98"/>
      <c r="D3" s="98"/>
    </row>
    <row r="4" spans="1:4" ht="15.75">
      <c r="A4" s="92" t="s">
        <v>156</v>
      </c>
      <c r="B4" s="93" t="s">
        <v>180</v>
      </c>
      <c r="C4" s="33" t="s">
        <v>317</v>
      </c>
      <c r="D4" s="33" t="s">
        <v>318</v>
      </c>
    </row>
    <row r="5" spans="1:4" ht="15.75">
      <c r="A5" s="20" t="s">
        <v>34</v>
      </c>
      <c r="B5" s="147">
        <f>D1-2</f>
        <v>2008</v>
      </c>
      <c r="C5" s="147">
        <f>D1-1</f>
        <v>2009</v>
      </c>
      <c r="D5" s="147">
        <f>D1</f>
        <v>2010</v>
      </c>
    </row>
    <row r="6" spans="1:4" ht="15.75">
      <c r="A6" s="83" t="s">
        <v>168</v>
      </c>
      <c r="B6" s="40"/>
      <c r="C6" s="40"/>
      <c r="D6" s="40"/>
    </row>
    <row r="7" spans="1:4" ht="15.75">
      <c r="A7" s="101"/>
      <c r="B7" s="40"/>
      <c r="C7" s="40"/>
      <c r="D7" s="40"/>
    </row>
    <row r="8" spans="1:4" ht="15.75">
      <c r="A8" s="14" t="s">
        <v>176</v>
      </c>
      <c r="B8" s="13"/>
      <c r="C8" s="13"/>
      <c r="D8" s="13"/>
    </row>
    <row r="9" spans="1:4" ht="15.75">
      <c r="A9" s="14" t="s">
        <v>169</v>
      </c>
      <c r="B9" s="13"/>
      <c r="C9" s="13"/>
      <c r="D9" s="13"/>
    </row>
    <row r="10" spans="1:4" ht="15.75">
      <c r="A10" s="14" t="s">
        <v>170</v>
      </c>
      <c r="B10" s="13"/>
      <c r="C10" s="13"/>
      <c r="D10" s="13"/>
    </row>
    <row r="11" spans="1:4" ht="15.75">
      <c r="A11" s="14" t="s">
        <v>171</v>
      </c>
      <c r="B11" s="13"/>
      <c r="C11" s="13"/>
      <c r="D11" s="13"/>
    </row>
    <row r="12" spans="1:4" ht="15.75">
      <c r="A12" s="14"/>
      <c r="B12" s="13"/>
      <c r="C12" s="13"/>
      <c r="D12" s="13"/>
    </row>
    <row r="13" spans="1:4" ht="15.75">
      <c r="A13" s="8"/>
      <c r="B13" s="13"/>
      <c r="C13" s="13"/>
      <c r="D13" s="13"/>
    </row>
    <row r="14" spans="1:4" ht="15.75">
      <c r="A14" s="8"/>
      <c r="B14" s="13"/>
      <c r="C14" s="13"/>
      <c r="D14" s="13"/>
    </row>
    <row r="15" spans="1:4" ht="15.75">
      <c r="A15" s="83" t="s">
        <v>127</v>
      </c>
      <c r="B15" s="260">
        <f>SUM(B8:B14)</f>
        <v>0</v>
      </c>
      <c r="C15" s="260">
        <f>SUM(C8:C14)</f>
        <v>0</v>
      </c>
      <c r="D15" s="260">
        <f>SUM(D8:D14)</f>
        <v>0</v>
      </c>
    </row>
    <row r="16" spans="1:4" ht="15.75">
      <c r="A16" s="100"/>
      <c r="B16" s="72"/>
      <c r="C16" s="72"/>
      <c r="D16" s="72"/>
    </row>
    <row r="17" spans="1:4" ht="15.75">
      <c r="A17" s="14" t="s">
        <v>176</v>
      </c>
      <c r="B17" s="13"/>
      <c r="C17" s="13"/>
      <c r="D17" s="13"/>
    </row>
    <row r="18" spans="1:4" ht="15.75">
      <c r="A18" s="14" t="s">
        <v>169</v>
      </c>
      <c r="B18" s="13"/>
      <c r="C18" s="13"/>
      <c r="D18" s="13"/>
    </row>
    <row r="19" spans="1:4" ht="15.75">
      <c r="A19" s="14" t="s">
        <v>170</v>
      </c>
      <c r="B19" s="13"/>
      <c r="C19" s="13"/>
      <c r="D19" s="13"/>
    </row>
    <row r="20" spans="1:4" ht="15.75">
      <c r="A20" s="14" t="s">
        <v>171</v>
      </c>
      <c r="B20" s="13"/>
      <c r="C20" s="13"/>
      <c r="D20" s="13"/>
    </row>
    <row r="21" spans="1:4" ht="15.75">
      <c r="A21" s="14"/>
      <c r="B21" s="13"/>
      <c r="C21" s="13"/>
      <c r="D21" s="13"/>
    </row>
    <row r="22" spans="1:4" ht="15.75">
      <c r="A22" s="83" t="s">
        <v>127</v>
      </c>
      <c r="B22" s="260">
        <f>SUM(B17:B21)</f>
        <v>0</v>
      </c>
      <c r="C22" s="260">
        <f>SUM(C17:C21)</f>
        <v>0</v>
      </c>
      <c r="D22" s="260">
        <f>SUM(D17:D21)</f>
        <v>0</v>
      </c>
    </row>
    <row r="23" spans="1:4" ht="15.75">
      <c r="A23" s="100"/>
      <c r="B23" s="72"/>
      <c r="C23" s="72"/>
      <c r="D23" s="72"/>
    </row>
    <row r="24" spans="1:4" ht="15.75">
      <c r="A24" s="14" t="s">
        <v>176</v>
      </c>
      <c r="B24" s="13"/>
      <c r="C24" s="13"/>
      <c r="D24" s="13"/>
    </row>
    <row r="25" spans="1:4" ht="15.75">
      <c r="A25" s="14" t="s">
        <v>169</v>
      </c>
      <c r="B25" s="13"/>
      <c r="C25" s="13"/>
      <c r="D25" s="13"/>
    </row>
    <row r="26" spans="1:4" ht="15.75">
      <c r="A26" s="14" t="s">
        <v>170</v>
      </c>
      <c r="B26" s="13"/>
      <c r="C26" s="13"/>
      <c r="D26" s="13"/>
    </row>
    <row r="27" spans="1:4" ht="15.75">
      <c r="A27" s="14" t="s">
        <v>171</v>
      </c>
      <c r="B27" s="13"/>
      <c r="C27" s="13"/>
      <c r="D27" s="13"/>
    </row>
    <row r="28" spans="1:4" ht="15.75">
      <c r="A28" s="14"/>
      <c r="B28" s="13"/>
      <c r="C28" s="13"/>
      <c r="D28" s="13"/>
    </row>
    <row r="29" spans="1:4" ht="15.75">
      <c r="A29" s="83" t="s">
        <v>127</v>
      </c>
      <c r="B29" s="260">
        <f>SUM(B24:B28)</f>
        <v>0</v>
      </c>
      <c r="C29" s="260">
        <f>SUM(C24:C28)</f>
        <v>0</v>
      </c>
      <c r="D29" s="260">
        <f>SUM(D24:D28)</f>
        <v>0</v>
      </c>
    </row>
    <row r="30" spans="1:4" ht="15.75">
      <c r="A30" s="100"/>
      <c r="B30" s="72"/>
      <c r="C30" s="72"/>
      <c r="D30" s="72"/>
    </row>
    <row r="31" spans="1:4" ht="15.75">
      <c r="A31" s="14" t="s">
        <v>176</v>
      </c>
      <c r="B31" s="13"/>
      <c r="C31" s="13"/>
      <c r="D31" s="13"/>
    </row>
    <row r="32" spans="1:4" ht="15.75">
      <c r="A32" s="14" t="s">
        <v>169</v>
      </c>
      <c r="B32" s="13"/>
      <c r="C32" s="13"/>
      <c r="D32" s="13"/>
    </row>
    <row r="33" spans="1:4" ht="15.75">
      <c r="A33" s="14" t="s">
        <v>170</v>
      </c>
      <c r="B33" s="13"/>
      <c r="C33" s="13"/>
      <c r="D33" s="13"/>
    </row>
    <row r="34" spans="1:4" ht="15.75">
      <c r="A34" s="14" t="s">
        <v>171</v>
      </c>
      <c r="B34" s="13"/>
      <c r="C34" s="13"/>
      <c r="D34" s="13"/>
    </row>
    <row r="35" spans="1:4" ht="15.75">
      <c r="A35" s="83" t="s">
        <v>127</v>
      </c>
      <c r="B35" s="260">
        <f>SUM(B31:B34)</f>
        <v>0</v>
      </c>
      <c r="C35" s="260">
        <f>SUM(C31:C34)</f>
        <v>0</v>
      </c>
      <c r="D35" s="260">
        <f>SUM(D31:D34)</f>
        <v>0</v>
      </c>
    </row>
    <row r="36" spans="1:4" ht="15.75">
      <c r="A36" s="100"/>
      <c r="B36" s="72"/>
      <c r="C36" s="72"/>
      <c r="D36" s="72"/>
    </row>
    <row r="37" spans="1:4" ht="15.75">
      <c r="A37" s="14" t="s">
        <v>176</v>
      </c>
      <c r="B37" s="13"/>
      <c r="C37" s="13"/>
      <c r="D37" s="13"/>
    </row>
    <row r="38" spans="1:4" ht="15.75">
      <c r="A38" s="14" t="s">
        <v>169</v>
      </c>
      <c r="B38" s="13"/>
      <c r="C38" s="13"/>
      <c r="D38" s="13"/>
    </row>
    <row r="39" spans="1:4" ht="15.75">
      <c r="A39" s="14" t="s">
        <v>170</v>
      </c>
      <c r="B39" s="13"/>
      <c r="C39" s="13"/>
      <c r="D39" s="13"/>
    </row>
    <row r="40" spans="1:4" ht="15.75">
      <c r="A40" s="14" t="s">
        <v>171</v>
      </c>
      <c r="B40" s="13"/>
      <c r="C40" s="13"/>
      <c r="D40" s="13"/>
    </row>
    <row r="41" spans="1:4" ht="15.75">
      <c r="A41" s="14"/>
      <c r="B41" s="13"/>
      <c r="C41" s="13"/>
      <c r="D41" s="13"/>
    </row>
    <row r="42" spans="1:4" ht="15.75">
      <c r="A42" s="83" t="s">
        <v>127</v>
      </c>
      <c r="B42" s="260">
        <f>SUM(B37:B41)</f>
        <v>0</v>
      </c>
      <c r="C42" s="260">
        <f>SUM(C37:C41)</f>
        <v>0</v>
      </c>
      <c r="D42" s="260">
        <f>SUM(D37:D41)</f>
        <v>0</v>
      </c>
    </row>
    <row r="43" spans="1:4" ht="15.75">
      <c r="A43" s="100"/>
      <c r="B43" s="72"/>
      <c r="C43" s="72"/>
      <c r="D43" s="72"/>
    </row>
    <row r="44" spans="1:4" ht="15.75">
      <c r="A44" s="14" t="s">
        <v>176</v>
      </c>
      <c r="B44" s="13"/>
      <c r="C44" s="13"/>
      <c r="D44" s="13"/>
    </row>
    <row r="45" spans="1:4" ht="15.75">
      <c r="A45" s="14" t="s">
        <v>169</v>
      </c>
      <c r="B45" s="13"/>
      <c r="C45" s="13"/>
      <c r="D45" s="13"/>
    </row>
    <row r="46" spans="1:4" ht="15.75">
      <c r="A46" s="14" t="s">
        <v>170</v>
      </c>
      <c r="B46" s="13"/>
      <c r="C46" s="13"/>
      <c r="D46" s="13"/>
    </row>
    <row r="47" spans="1:4" ht="15.75">
      <c r="A47" s="14" t="s">
        <v>171</v>
      </c>
      <c r="B47" s="13"/>
      <c r="C47" s="13"/>
      <c r="D47" s="13"/>
    </row>
    <row r="48" spans="1:4" ht="15.75">
      <c r="A48" s="14"/>
      <c r="B48" s="13"/>
      <c r="C48" s="13"/>
      <c r="D48" s="13"/>
    </row>
    <row r="49" spans="1:4" ht="15.75">
      <c r="A49" s="83" t="s">
        <v>127</v>
      </c>
      <c r="B49" s="260">
        <f>SUM(B44:B48)</f>
        <v>0</v>
      </c>
      <c r="C49" s="260">
        <f>SUM(C44:C48)</f>
        <v>0</v>
      </c>
      <c r="D49" s="260">
        <f>SUM(D44:D48)</f>
        <v>0</v>
      </c>
    </row>
    <row r="50" spans="1:4" ht="15.75">
      <c r="A50" s="100"/>
      <c r="B50" s="72"/>
      <c r="C50" s="72"/>
      <c r="D50" s="72"/>
    </row>
    <row r="51" spans="1:4" ht="15.75">
      <c r="A51" s="14" t="s">
        <v>176</v>
      </c>
      <c r="B51" s="13"/>
      <c r="C51" s="13"/>
      <c r="D51" s="13"/>
    </row>
    <row r="52" spans="1:4" ht="15.75">
      <c r="A52" s="14" t="s">
        <v>169</v>
      </c>
      <c r="B52" s="13"/>
      <c r="C52" s="13"/>
      <c r="D52" s="13"/>
    </row>
    <row r="53" spans="1:4" ht="15.75">
      <c r="A53" s="14" t="s">
        <v>170</v>
      </c>
      <c r="B53" s="13"/>
      <c r="C53" s="13"/>
      <c r="D53" s="13"/>
    </row>
    <row r="54" spans="1:4" ht="15.75">
      <c r="A54" s="14" t="s">
        <v>171</v>
      </c>
      <c r="B54" s="13"/>
      <c r="C54" s="13"/>
      <c r="D54" s="13"/>
    </row>
    <row r="55" spans="1:4" ht="15.75">
      <c r="A55" s="14"/>
      <c r="B55" s="13"/>
      <c r="C55" s="13"/>
      <c r="D55" s="13"/>
    </row>
    <row r="56" spans="1:4" ht="15.75">
      <c r="A56" s="83" t="s">
        <v>127</v>
      </c>
      <c r="B56" s="260">
        <f>SUM(B51:B55)</f>
        <v>0</v>
      </c>
      <c r="C56" s="260">
        <f>SUM(C51:C55)</f>
        <v>0</v>
      </c>
      <c r="D56" s="260">
        <f>SUM(D51:D55)</f>
        <v>0</v>
      </c>
    </row>
    <row r="57" spans="1:4" ht="15.75">
      <c r="A57" s="100"/>
      <c r="B57" s="72"/>
      <c r="C57" s="72"/>
      <c r="D57" s="72"/>
    </row>
    <row r="58" spans="1:4" ht="15.75">
      <c r="A58" s="14" t="s">
        <v>176</v>
      </c>
      <c r="B58" s="13"/>
      <c r="C58" s="13"/>
      <c r="D58" s="13"/>
    </row>
    <row r="59" spans="1:4" ht="15.75">
      <c r="A59" s="14" t="s">
        <v>169</v>
      </c>
      <c r="B59" s="13"/>
      <c r="C59" s="13"/>
      <c r="D59" s="13"/>
    </row>
    <row r="60" spans="1:4" ht="15.75">
      <c r="A60" s="14" t="s">
        <v>170</v>
      </c>
      <c r="B60" s="13"/>
      <c r="C60" s="13"/>
      <c r="D60" s="13"/>
    </row>
    <row r="61" spans="1:4" ht="15.75">
      <c r="A61" s="14" t="s">
        <v>171</v>
      </c>
      <c r="B61" s="13"/>
      <c r="C61" s="13"/>
      <c r="D61" s="13"/>
    </row>
    <row r="62" spans="1:4" ht="15.75">
      <c r="A62" s="14"/>
      <c r="B62" s="13"/>
      <c r="C62" s="13"/>
      <c r="D62" s="13"/>
    </row>
    <row r="63" spans="1:4" ht="15.75">
      <c r="A63" s="83" t="s">
        <v>127</v>
      </c>
      <c r="B63" s="260">
        <f>SUM(B58:B62)</f>
        <v>0</v>
      </c>
      <c r="C63" s="260">
        <f>SUM(C58:C62)</f>
        <v>0</v>
      </c>
      <c r="D63" s="260">
        <f>SUM(D58:D62)</f>
        <v>0</v>
      </c>
    </row>
    <row r="64" spans="1:4" ht="15.75">
      <c r="A64" s="21"/>
      <c r="B64" s="72"/>
      <c r="C64" s="72"/>
      <c r="D64" s="72"/>
    </row>
    <row r="65" spans="1:4" ht="16.5" thickBot="1">
      <c r="A65" s="83" t="s">
        <v>177</v>
      </c>
      <c r="B65" s="261">
        <f>B15+B22+B29+B35+B42+B49+B56+B63</f>
        <v>0</v>
      </c>
      <c r="C65" s="261">
        <f>C15+C22+C29+C35+C42+C49+C56+C63</f>
        <v>0</v>
      </c>
      <c r="D65" s="261">
        <f>D15+D22+D29+D35+D42+D49+D56+D63</f>
        <v>0</v>
      </c>
    </row>
    <row r="66" spans="1:4" ht="16.5" thickTop="1">
      <c r="A66" s="389" t="s">
        <v>80</v>
      </c>
      <c r="B66" s="72"/>
      <c r="C66" s="72"/>
      <c r="D66" s="72"/>
    </row>
    <row r="67" spans="1:4" ht="15.75">
      <c r="A67" s="21"/>
      <c r="B67" s="99" t="s">
        <v>310</v>
      </c>
      <c r="C67" s="72"/>
      <c r="D67" s="72"/>
    </row>
  </sheetData>
  <sheetProtection sheet="1" objects="1" scenarios="1"/>
  <printOptions/>
  <pageMargins left="0.5" right="0.5" top="1" bottom="0.5" header="0.5" footer="0.5"/>
  <pageSetup blackAndWhite="1" fitToHeight="1" fitToWidth="1" horizontalDpi="300" verticalDpi="300" orientation="portrait" r:id="rId1"/>
  <headerFooter alignWithMargins="0">
    <oddHeader>&amp;RState of Kansas
City</oddHeader>
    <oddFooter>&amp;Lrevised 8/21/08</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2" sqref="C2"/>
    </sheetView>
  </sheetViews>
  <sheetFormatPr defaultColWidth="8.796875" defaultRowHeight="15"/>
  <cols>
    <col min="1" max="1" width="10.09765625" style="0" customWidth="1"/>
    <col min="2" max="2" width="16.296875" style="0" customWidth="1"/>
    <col min="3" max="3" width="11.796875" style="0" customWidth="1"/>
    <col min="4" max="4" width="12.796875" style="0" customWidth="1"/>
    <col min="5" max="5" width="11.796875" style="0" customWidth="1"/>
  </cols>
  <sheetData>
    <row r="1" spans="1:6" ht="15.75">
      <c r="A1" s="72" t="str">
        <f>inputPrYr!D2</f>
        <v>CITY OF PARK CITY</v>
      </c>
      <c r="B1" s="21"/>
      <c r="C1" s="21"/>
      <c r="D1" s="21"/>
      <c r="E1" s="21"/>
      <c r="F1" s="21">
        <f>inputPrYr!C5</f>
        <v>2010</v>
      </c>
    </row>
    <row r="2" spans="1:6" ht="15.75">
      <c r="A2" s="21"/>
      <c r="B2" s="21"/>
      <c r="C2" s="21"/>
      <c r="D2" s="21"/>
      <c r="E2" s="21"/>
      <c r="F2" s="21"/>
    </row>
    <row r="3" spans="1:6" ht="15.75">
      <c r="A3" s="21"/>
      <c r="B3" s="448" t="str">
        <f>CONCATENATE("",F1," Neighborhood Revitalization Rebate")</f>
        <v>2010 Neighborhood Revitalization Rebate</v>
      </c>
      <c r="C3" s="507"/>
      <c r="D3" s="507"/>
      <c r="E3" s="507"/>
      <c r="F3" s="21"/>
    </row>
    <row r="4" spans="1:6" ht="15.75">
      <c r="A4" s="21"/>
      <c r="B4" s="21"/>
      <c r="C4" s="21"/>
      <c r="D4" s="21"/>
      <c r="E4" s="21"/>
      <c r="F4" s="21"/>
    </row>
    <row r="5" spans="1:6" ht="51" customHeight="1">
      <c r="A5" s="21"/>
      <c r="B5" s="333" t="str">
        <f>CONCATENATE("Budgeted Funds         for ",F1-1,"")</f>
        <v>Budgeted Funds         for 2009</v>
      </c>
      <c r="C5" s="333" t="str">
        <f>CONCATENATE("",F1-1," Ad Valorem before Rebate")</f>
        <v>2009 Ad Valorem before Rebate</v>
      </c>
      <c r="D5" s="334" t="str">
        <f>CONCATENATE("",F1-1," Mil Rate before Rebate")</f>
        <v>2009 Mil Rate before Rebate</v>
      </c>
      <c r="E5" s="335" t="str">
        <f>CONCATENATE("Estimate ",F1," NR Rebate")</f>
        <v>Estimate 2010 NR Rebate</v>
      </c>
      <c r="F5" s="137"/>
    </row>
    <row r="6" spans="1:6" ht="15.75">
      <c r="A6" s="21"/>
      <c r="B6" s="44" t="str">
        <f>inputPrYr!B16</f>
        <v>General</v>
      </c>
      <c r="C6" s="352"/>
      <c r="D6" s="336">
        <f>IF(C6&gt;0,C6/$D$23,"")</f>
      </c>
      <c r="E6" s="212">
        <f aca="true" t="shared" si="0" ref="E6:E17">IF(C6&gt;0,ROUND(D6*$D$27,0),"")</f>
      </c>
      <c r="F6" s="137"/>
    </row>
    <row r="7" spans="1:6" ht="15.75">
      <c r="A7" s="21"/>
      <c r="B7" s="44" t="str">
        <f>inputPrYr!B17</f>
        <v>Debt Service</v>
      </c>
      <c r="C7" s="352"/>
      <c r="D7" s="336">
        <f aca="true" t="shared" si="1" ref="D7:D17">IF(C7&gt;0,C7/$D$23,"")</f>
      </c>
      <c r="E7" s="212">
        <f t="shared" si="0"/>
      </c>
      <c r="F7" s="137"/>
    </row>
    <row r="8" spans="1:6" ht="15.75">
      <c r="A8" s="21"/>
      <c r="B8" s="40" t="str">
        <f>inputPrYr!B19</f>
        <v>Bond &amp; Interest-Ballfield Lgts</v>
      </c>
      <c r="C8" s="352"/>
      <c r="D8" s="336">
        <f t="shared" si="1"/>
      </c>
      <c r="E8" s="212">
        <f t="shared" si="0"/>
      </c>
      <c r="F8" s="137"/>
    </row>
    <row r="9" spans="1:6" ht="15.75">
      <c r="A9" s="21"/>
      <c r="B9" s="40" t="str">
        <f>inputPrYr!B20</f>
        <v>Employee Benefit Fund</v>
      </c>
      <c r="C9" s="352"/>
      <c r="D9" s="336">
        <f t="shared" si="1"/>
      </c>
      <c r="E9" s="212">
        <f t="shared" si="0"/>
      </c>
      <c r="F9" s="137"/>
    </row>
    <row r="10" spans="1:6" ht="15.75">
      <c r="A10" s="21"/>
      <c r="B10" s="40" t="str">
        <f>inputPrYr!B21</f>
        <v>Library Fund</v>
      </c>
      <c r="C10" s="352"/>
      <c r="D10" s="336">
        <f t="shared" si="1"/>
      </c>
      <c r="E10" s="212">
        <f t="shared" si="0"/>
      </c>
      <c r="F10" s="137"/>
    </row>
    <row r="11" spans="1:6" ht="15.75">
      <c r="A11" s="21"/>
      <c r="B11" s="40" t="str">
        <f>inputPrYr!B22</f>
        <v>Library Employee Benefits</v>
      </c>
      <c r="C11" s="352"/>
      <c r="D11" s="336">
        <f t="shared" si="1"/>
      </c>
      <c r="E11" s="212">
        <f t="shared" si="0"/>
      </c>
      <c r="F11" s="137"/>
    </row>
    <row r="12" spans="1:6" ht="15.75">
      <c r="A12" s="21"/>
      <c r="B12" s="40">
        <f>inputPrYr!B23</f>
        <v>0</v>
      </c>
      <c r="C12" s="353"/>
      <c r="D12" s="336">
        <f t="shared" si="1"/>
      </c>
      <c r="E12" s="212">
        <f t="shared" si="0"/>
      </c>
      <c r="F12" s="137"/>
    </row>
    <row r="13" spans="1:6" ht="15.75">
      <c r="A13" s="21"/>
      <c r="B13" s="40">
        <f>inputPrYr!B24</f>
        <v>0</v>
      </c>
      <c r="C13" s="353"/>
      <c r="D13" s="336">
        <f t="shared" si="1"/>
      </c>
      <c r="E13" s="212">
        <f t="shared" si="0"/>
      </c>
      <c r="F13" s="137"/>
    </row>
    <row r="14" spans="1:6" ht="15.75">
      <c r="A14" s="21"/>
      <c r="B14" s="40">
        <f>inputPrYr!B25</f>
        <v>0</v>
      </c>
      <c r="C14" s="353"/>
      <c r="D14" s="336">
        <f t="shared" si="1"/>
      </c>
      <c r="E14" s="212">
        <f t="shared" si="0"/>
      </c>
      <c r="F14" s="137"/>
    </row>
    <row r="15" spans="1:6" ht="15.75">
      <c r="A15" s="21"/>
      <c r="B15" s="40">
        <f>inputPrYr!B26</f>
        <v>0</v>
      </c>
      <c r="C15" s="353"/>
      <c r="D15" s="336">
        <f t="shared" si="1"/>
      </c>
      <c r="E15" s="212">
        <f t="shared" si="0"/>
      </c>
      <c r="F15" s="137"/>
    </row>
    <row r="16" spans="1:6" ht="15.75">
      <c r="A16" s="21"/>
      <c r="B16" s="40">
        <f>inputPrYr!B27</f>
        <v>0</v>
      </c>
      <c r="C16" s="353"/>
      <c r="D16" s="336">
        <f t="shared" si="1"/>
      </c>
      <c r="E16" s="212">
        <f t="shared" si="0"/>
      </c>
      <c r="F16" s="137"/>
    </row>
    <row r="17" spans="1:6" ht="15.75">
      <c r="A17" s="21"/>
      <c r="B17" s="40">
        <f>inputPrYr!B28</f>
        <v>0</v>
      </c>
      <c r="C17" s="353"/>
      <c r="D17" s="336">
        <f t="shared" si="1"/>
      </c>
      <c r="E17" s="212">
        <f t="shared" si="0"/>
      </c>
      <c r="F17" s="137"/>
    </row>
    <row r="18" spans="1:6" ht="16.5" thickBot="1">
      <c r="A18" s="21"/>
      <c r="B18" s="42" t="s">
        <v>151</v>
      </c>
      <c r="C18" s="337">
        <f>SUM(C6:C17)</f>
        <v>0</v>
      </c>
      <c r="D18" s="338">
        <f>SUM(D6:D17)</f>
        <v>0</v>
      </c>
      <c r="E18" s="337">
        <f>SUM(E6:E17)</f>
        <v>0</v>
      </c>
      <c r="F18" s="137"/>
    </row>
    <row r="19" spans="1:6" ht="16.5" thickTop="1">
      <c r="A19" s="21"/>
      <c r="B19" s="21"/>
      <c r="C19" s="21"/>
      <c r="D19" s="21"/>
      <c r="E19" s="21"/>
      <c r="F19" s="137"/>
    </row>
    <row r="20" spans="1:6" ht="15.75">
      <c r="A20" s="21"/>
      <c r="B20" s="21"/>
      <c r="C20" s="21"/>
      <c r="D20" s="21"/>
      <c r="E20" s="21"/>
      <c r="F20" s="137"/>
    </row>
    <row r="21" spans="1:6" ht="15.75">
      <c r="A21" s="508" t="str">
        <f>CONCATENATE("",F1-1," Net Valuation (July 1 less NR Valuation)")</f>
        <v>2009 Net Valuation (July 1 less NR Valuation)</v>
      </c>
      <c r="B21" s="466"/>
      <c r="C21" s="508"/>
      <c r="D21" s="193">
        <f>inputOth!E6-inputOth!E16</f>
        <v>54499845</v>
      </c>
      <c r="E21" s="21"/>
      <c r="F21" s="137"/>
    </row>
    <row r="22" spans="1:6" ht="15.75">
      <c r="A22" s="21"/>
      <c r="B22" s="21"/>
      <c r="C22" s="21"/>
      <c r="D22" s="21"/>
      <c r="E22" s="21"/>
      <c r="F22" s="137"/>
    </row>
    <row r="23" spans="1:6" ht="15.75">
      <c r="A23" s="21"/>
      <c r="B23" s="508" t="s">
        <v>22</v>
      </c>
      <c r="C23" s="508"/>
      <c r="D23" s="339">
        <f>IF(D21&gt;0,(D21*0.001),"")</f>
        <v>54499.845</v>
      </c>
      <c r="E23" s="21"/>
      <c r="F23" s="137"/>
    </row>
    <row r="24" spans="1:6" ht="15.75">
      <c r="A24" s="21"/>
      <c r="B24" s="23"/>
      <c r="C24" s="23"/>
      <c r="D24" s="340"/>
      <c r="E24" s="21"/>
      <c r="F24" s="137"/>
    </row>
    <row r="25" spans="1:6" ht="15.75">
      <c r="A25" s="473" t="s">
        <v>23</v>
      </c>
      <c r="B25" s="509"/>
      <c r="C25" s="509"/>
      <c r="D25" s="341">
        <f>inputOth!E16</f>
        <v>0</v>
      </c>
      <c r="E25" s="170"/>
      <c r="F25" s="170"/>
    </row>
    <row r="26" spans="1:6" ht="15">
      <c r="A26" s="170"/>
      <c r="B26" s="170"/>
      <c r="C26" s="170"/>
      <c r="D26" s="342"/>
      <c r="E26" s="170"/>
      <c r="F26" s="170"/>
    </row>
    <row r="27" spans="1:6" ht="15.75">
      <c r="A27" s="170"/>
      <c r="B27" s="473" t="s">
        <v>24</v>
      </c>
      <c r="C27" s="466"/>
      <c r="D27" s="351">
        <f>IF(D25&gt;0,(D25*0.001),"")</f>
      </c>
      <c r="E27" s="170"/>
      <c r="F27" s="170"/>
    </row>
    <row r="28" spans="1:6" ht="15">
      <c r="A28" s="170"/>
      <c r="B28" s="170"/>
      <c r="C28" s="170"/>
      <c r="D28" s="170"/>
      <c r="E28" s="170"/>
      <c r="F28" s="170"/>
    </row>
    <row r="29" spans="1:6" ht="15">
      <c r="A29" s="170"/>
      <c r="B29" s="170"/>
      <c r="C29" s="170"/>
      <c r="D29" s="170"/>
      <c r="E29" s="170"/>
      <c r="F29" s="170"/>
    </row>
    <row r="30" spans="1:6" ht="15">
      <c r="A30" s="170"/>
      <c r="B30" s="170"/>
      <c r="C30" s="170"/>
      <c r="D30" s="170"/>
      <c r="E30" s="170"/>
      <c r="F30" s="170"/>
    </row>
    <row r="31" spans="1:6" ht="15">
      <c r="A31" s="170"/>
      <c r="B31" s="170"/>
      <c r="C31" s="170"/>
      <c r="D31" s="170"/>
      <c r="E31" s="170"/>
      <c r="F31" s="170"/>
    </row>
    <row r="32" spans="1:6" ht="15">
      <c r="A32" s="170"/>
      <c r="B32" s="170"/>
      <c r="C32" s="170"/>
      <c r="D32" s="170"/>
      <c r="E32" s="170"/>
      <c r="F32" s="170"/>
    </row>
    <row r="33" spans="1:6" ht="15">
      <c r="A33" s="170"/>
      <c r="B33" s="170"/>
      <c r="C33" s="170"/>
      <c r="D33" s="170"/>
      <c r="E33" s="170"/>
      <c r="F33" s="170"/>
    </row>
    <row r="34" spans="1:6" ht="15.75">
      <c r="A34" s="170"/>
      <c r="B34" s="63" t="s">
        <v>175</v>
      </c>
      <c r="C34" s="100"/>
      <c r="D34" s="170"/>
      <c r="E34" s="170"/>
      <c r="F34" s="170"/>
    </row>
    <row r="35" spans="1:6" ht="15.75">
      <c r="A35" s="137"/>
      <c r="B35" s="21"/>
      <c r="C35" s="21"/>
      <c r="D35" s="343"/>
      <c r="E35" s="137"/>
      <c r="F35" s="137"/>
    </row>
  </sheetData>
  <sheetProtection sheet="1" objects="1" scenarios="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r:id="rId1"/>
  <headerFooter alignWithMargins="0">
    <oddHeader>&amp;RState of  Kansas
City</oddHeader>
    <oddFooter>&amp;Lrevised 8/21/08</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H74"/>
  <sheetViews>
    <sheetView zoomScalePageLayoutView="0" workbookViewId="0" topLeftCell="A1">
      <selection activeCell="B2" sqref="B2"/>
    </sheetView>
  </sheetViews>
  <sheetFormatPr defaultColWidth="8.796875" defaultRowHeight="15"/>
  <cols>
    <col min="1" max="1" width="28.796875" style="7" customWidth="1"/>
    <col min="2" max="2" width="9.59765625" style="7" customWidth="1"/>
    <col min="3" max="3" width="10.3984375" style="7" customWidth="1"/>
    <col min="4" max="4" width="5.796875" style="7" customWidth="1"/>
    <col min="5" max="5" width="9.69921875" style="7" customWidth="1"/>
    <col min="6" max="6" width="6.69921875" style="7" customWidth="1"/>
    <col min="7" max="7" width="16.09765625" style="7" customWidth="1"/>
    <col min="8" max="16384" width="8.8984375" style="7" customWidth="1"/>
  </cols>
  <sheetData>
    <row r="1" spans="1:7" ht="15.75">
      <c r="A1" s="72" t="str">
        <f>(inputPrYr!D2)</f>
        <v>CITY OF PARK CITY</v>
      </c>
      <c r="B1" s="72"/>
      <c r="C1" s="21"/>
      <c r="D1" s="21"/>
      <c r="E1" s="21"/>
      <c r="F1" s="21"/>
      <c r="G1" s="139">
        <f>inputPrYr!C5</f>
        <v>2010</v>
      </c>
    </row>
    <row r="2" spans="1:7" ht="15.75">
      <c r="A2" s="21"/>
      <c r="B2" s="21"/>
      <c r="C2" s="21"/>
      <c r="D2" s="21"/>
      <c r="E2" s="21"/>
      <c r="F2" s="21"/>
      <c r="G2" s="24"/>
    </row>
    <row r="3" spans="1:7" ht="15.75">
      <c r="A3" s="90" t="s">
        <v>233</v>
      </c>
      <c r="B3" s="90"/>
      <c r="C3" s="94"/>
      <c r="D3" s="94"/>
      <c r="E3" s="94"/>
      <c r="F3" s="94"/>
      <c r="G3" s="95"/>
    </row>
    <row r="4" spans="1:7" ht="15.75">
      <c r="A4" s="21"/>
      <c r="B4" s="21"/>
      <c r="C4" s="96"/>
      <c r="D4" s="96"/>
      <c r="E4" s="96"/>
      <c r="F4" s="96"/>
      <c r="G4" s="96"/>
    </row>
    <row r="5" spans="1:7" ht="15.75">
      <c r="A5" s="25" t="s">
        <v>156</v>
      </c>
      <c r="B5" s="25"/>
      <c r="C5" s="485" t="s">
        <v>180</v>
      </c>
      <c r="D5" s="486"/>
      <c r="E5" s="481" t="s">
        <v>317</v>
      </c>
      <c r="F5" s="482"/>
      <c r="G5" s="33" t="s">
        <v>318</v>
      </c>
    </row>
    <row r="6" spans="1:7" ht="15.75">
      <c r="A6" s="138">
        <f>inputPrYr!B25</f>
        <v>0</v>
      </c>
      <c r="B6" s="138"/>
      <c r="C6" s="483">
        <f>G1-2</f>
        <v>2008</v>
      </c>
      <c r="D6" s="484"/>
      <c r="E6" s="483">
        <f>G1-1</f>
        <v>2009</v>
      </c>
      <c r="F6" s="484"/>
      <c r="G6" s="147">
        <f>G1</f>
        <v>2010</v>
      </c>
    </row>
    <row r="7" spans="1:7" ht="15.75">
      <c r="A7" s="306" t="s">
        <v>289</v>
      </c>
      <c r="B7" s="312"/>
      <c r="C7" s="455"/>
      <c r="D7" s="456"/>
      <c r="E7" s="461">
        <f>C32</f>
        <v>0</v>
      </c>
      <c r="F7" s="462"/>
      <c r="G7" s="85">
        <f>E32</f>
        <v>0</v>
      </c>
    </row>
    <row r="8" spans="1:7" ht="15.75">
      <c r="A8" s="311" t="s">
        <v>291</v>
      </c>
      <c r="B8" s="312"/>
      <c r="C8" s="463"/>
      <c r="D8" s="464"/>
      <c r="E8" s="463"/>
      <c r="F8" s="464"/>
      <c r="G8" s="40"/>
    </row>
    <row r="9" spans="1:7" ht="15.75">
      <c r="A9" s="37" t="s">
        <v>157</v>
      </c>
      <c r="B9" s="312"/>
      <c r="C9" s="455"/>
      <c r="D9" s="456"/>
      <c r="E9" s="461">
        <f>inputPrYr!E25</f>
        <v>0</v>
      </c>
      <c r="F9" s="462"/>
      <c r="G9" s="97" t="s">
        <v>144</v>
      </c>
    </row>
    <row r="10" spans="1:7" ht="15.75">
      <c r="A10" s="37" t="s">
        <v>158</v>
      </c>
      <c r="B10" s="312"/>
      <c r="C10" s="455"/>
      <c r="D10" s="456"/>
      <c r="E10" s="455"/>
      <c r="F10" s="456"/>
      <c r="G10" s="9"/>
    </row>
    <row r="11" spans="1:7" ht="15.75">
      <c r="A11" s="37" t="s">
        <v>159</v>
      </c>
      <c r="B11" s="312"/>
      <c r="C11" s="455"/>
      <c r="D11" s="456"/>
      <c r="E11" s="455"/>
      <c r="F11" s="456"/>
      <c r="G11" s="85" t="str">
        <f>mvalloc!C15</f>
        <v>  </v>
      </c>
    </row>
    <row r="12" spans="1:7" ht="15.75">
      <c r="A12" s="37" t="s">
        <v>160</v>
      </c>
      <c r="B12" s="312"/>
      <c r="C12" s="455"/>
      <c r="D12" s="456"/>
      <c r="E12" s="455"/>
      <c r="F12" s="456"/>
      <c r="G12" s="85" t="str">
        <f>mvalloc!D15</f>
        <v> </v>
      </c>
    </row>
    <row r="13" spans="1:7" ht="15.75">
      <c r="A13" s="316" t="s">
        <v>266</v>
      </c>
      <c r="B13" s="312"/>
      <c r="C13" s="455"/>
      <c r="D13" s="456"/>
      <c r="E13" s="455"/>
      <c r="F13" s="456"/>
      <c r="G13" s="85" t="str">
        <f>mvalloc!E15</f>
        <v> </v>
      </c>
    </row>
    <row r="14" spans="1:7" ht="15.75">
      <c r="A14" s="317" t="s">
        <v>337</v>
      </c>
      <c r="B14" s="312"/>
      <c r="C14" s="455"/>
      <c r="D14" s="456"/>
      <c r="E14" s="455"/>
      <c r="F14" s="456"/>
      <c r="G14" s="85" t="str">
        <f>mvalloc!F15</f>
        <v> </v>
      </c>
    </row>
    <row r="15" spans="1:7" ht="15.75">
      <c r="A15" s="296"/>
      <c r="B15" s="313"/>
      <c r="C15" s="455"/>
      <c r="D15" s="456"/>
      <c r="E15" s="455"/>
      <c r="F15" s="456"/>
      <c r="G15" s="9"/>
    </row>
    <row r="16" spans="1:7" ht="15.75">
      <c r="A16" s="296"/>
      <c r="B16" s="313"/>
      <c r="C16" s="455"/>
      <c r="D16" s="456"/>
      <c r="E16" s="455"/>
      <c r="F16" s="456"/>
      <c r="G16" s="9"/>
    </row>
    <row r="17" spans="1:7" ht="15.75">
      <c r="A17" s="307" t="s">
        <v>164</v>
      </c>
      <c r="B17" s="313"/>
      <c r="C17" s="455"/>
      <c r="D17" s="456"/>
      <c r="E17" s="455"/>
      <c r="F17" s="456"/>
      <c r="G17" s="9"/>
    </row>
    <row r="18" spans="1:7" ht="15.75">
      <c r="A18" s="316" t="s">
        <v>26</v>
      </c>
      <c r="B18" s="312"/>
      <c r="C18" s="455"/>
      <c r="D18" s="456"/>
      <c r="E18" s="455"/>
      <c r="F18" s="456"/>
      <c r="G18" s="308"/>
    </row>
    <row r="19" spans="1:7" ht="15.75">
      <c r="A19" s="306" t="s">
        <v>28</v>
      </c>
      <c r="B19" s="312"/>
      <c r="C19" s="475">
        <f>IF(C20*0.1&lt;C18,"Exceed 10% Rule","")</f>
      </c>
      <c r="D19" s="476"/>
      <c r="E19" s="475">
        <f>IF(E20*0.1&lt;E18,"Exceed 10% Rule","")</f>
      </c>
      <c r="F19" s="476"/>
      <c r="G19" s="348">
        <f>IF(G20*0.1+G37&lt;G18,"Exceed 10% Rule","")</f>
      </c>
    </row>
    <row r="20" spans="1:7" ht="15.75">
      <c r="A20" s="153" t="s">
        <v>165</v>
      </c>
      <c r="B20" s="312"/>
      <c r="C20" s="479">
        <f>SUM(C9:C18)</f>
        <v>0</v>
      </c>
      <c r="D20" s="480"/>
      <c r="E20" s="479">
        <f>SUM(E9:E18)</f>
        <v>0</v>
      </c>
      <c r="F20" s="480"/>
      <c r="G20" s="263">
        <f>SUM(G9:G18)</f>
        <v>0</v>
      </c>
    </row>
    <row r="21" spans="1:7" ht="15.75">
      <c r="A21" s="153" t="s">
        <v>166</v>
      </c>
      <c r="B21" s="312"/>
      <c r="C21" s="479">
        <f>C7+C20</f>
        <v>0</v>
      </c>
      <c r="D21" s="480"/>
      <c r="E21" s="479">
        <f>E7+E20</f>
        <v>0</v>
      </c>
      <c r="F21" s="480"/>
      <c r="G21" s="263">
        <f>G7+G20</f>
        <v>0</v>
      </c>
    </row>
    <row r="22" spans="1:7" ht="15.75">
      <c r="A22" s="37" t="s">
        <v>168</v>
      </c>
      <c r="B22" s="312"/>
      <c r="C22" s="499"/>
      <c r="D22" s="500"/>
      <c r="E22" s="499"/>
      <c r="F22" s="500"/>
      <c r="G22" s="42"/>
    </row>
    <row r="23" spans="1:7" ht="15.75">
      <c r="A23" s="296"/>
      <c r="B23" s="313"/>
      <c r="C23" s="455"/>
      <c r="D23" s="456"/>
      <c r="E23" s="455"/>
      <c r="F23" s="456"/>
      <c r="G23" s="9"/>
    </row>
    <row r="24" spans="1:7" ht="15.75">
      <c r="A24" s="296"/>
      <c r="B24" s="313"/>
      <c r="C24" s="455"/>
      <c r="D24" s="456"/>
      <c r="E24" s="455"/>
      <c r="F24" s="456"/>
      <c r="G24" s="9"/>
    </row>
    <row r="25" spans="1:7" ht="15.75">
      <c r="A25" s="296"/>
      <c r="B25" s="313"/>
      <c r="C25" s="455"/>
      <c r="D25" s="456"/>
      <c r="E25" s="455"/>
      <c r="F25" s="456"/>
      <c r="G25" s="9"/>
    </row>
    <row r="26" spans="1:7" ht="15.75">
      <c r="A26" s="296"/>
      <c r="B26" s="313"/>
      <c r="C26" s="455"/>
      <c r="D26" s="456"/>
      <c r="E26" s="455"/>
      <c r="F26" s="456"/>
      <c r="G26" s="9"/>
    </row>
    <row r="27" spans="1:7" ht="15.75">
      <c r="A27" s="296"/>
      <c r="B27" s="313"/>
      <c r="C27" s="455"/>
      <c r="D27" s="456"/>
      <c r="E27" s="455"/>
      <c r="F27" s="456"/>
      <c r="G27" s="9"/>
    </row>
    <row r="28" spans="1:7" ht="15.75">
      <c r="A28" s="314" t="s">
        <v>25</v>
      </c>
      <c r="B28" s="312"/>
      <c r="C28" s="455"/>
      <c r="D28" s="456"/>
      <c r="E28" s="455"/>
      <c r="F28" s="456"/>
      <c r="G28" s="262">
        <f>nhood!E14</f>
      </c>
    </row>
    <row r="29" spans="1:7" ht="15.75">
      <c r="A29" s="314" t="s">
        <v>26</v>
      </c>
      <c r="B29" s="312"/>
      <c r="C29" s="455"/>
      <c r="D29" s="456"/>
      <c r="E29" s="455"/>
      <c r="F29" s="456"/>
      <c r="G29" s="308"/>
    </row>
    <row r="30" spans="1:7" ht="15.75">
      <c r="A30" s="314" t="s">
        <v>27</v>
      </c>
      <c r="B30" s="312"/>
      <c r="C30" s="475">
        <f>IF(C31*0.1&lt;C29,"Exceed 10% Rule","")</f>
      </c>
      <c r="D30" s="476"/>
      <c r="E30" s="475">
        <f>IF(E31*0.1&lt;E29,"Exceed 10% Rule","")</f>
      </c>
      <c r="F30" s="476"/>
      <c r="G30" s="348">
        <f>IF(G31*0.1&lt;G29,"Exceed 10% Rule","")</f>
      </c>
    </row>
    <row r="31" spans="1:7" ht="15.75">
      <c r="A31" s="153" t="s">
        <v>172</v>
      </c>
      <c r="B31" s="312"/>
      <c r="C31" s="479">
        <f>SUM(C23:C29)</f>
        <v>0</v>
      </c>
      <c r="D31" s="480"/>
      <c r="E31" s="479">
        <f>SUM(E23:E29)</f>
        <v>0</v>
      </c>
      <c r="F31" s="480"/>
      <c r="G31" s="263">
        <f>SUM(G23:G29)</f>
        <v>0</v>
      </c>
    </row>
    <row r="32" spans="1:7" ht="15.75">
      <c r="A32" s="37" t="s">
        <v>290</v>
      </c>
      <c r="B32" s="312"/>
      <c r="C32" s="457">
        <f>C21-C31</f>
        <v>0</v>
      </c>
      <c r="D32" s="458"/>
      <c r="E32" s="457">
        <f>E21-E31</f>
        <v>0</v>
      </c>
      <c r="F32" s="458"/>
      <c r="G32" s="97" t="s">
        <v>144</v>
      </c>
    </row>
    <row r="33" spans="1:8" ht="15.75">
      <c r="A33" s="23" t="str">
        <f>CONCATENATE("",G1-2,"/",G1-1," Budget Authority Amount:")</f>
        <v>2008/2009 Budget Authority Amount:</v>
      </c>
      <c r="B33" s="331">
        <f>inputOth!B67</f>
        <v>0</v>
      </c>
      <c r="C33" s="331">
        <f>inputPrYr!D25</f>
        <v>0</v>
      </c>
      <c r="D33" s="468" t="s">
        <v>76</v>
      </c>
      <c r="E33" s="469"/>
      <c r="F33" s="470"/>
      <c r="G33" s="9"/>
      <c r="H33" s="291">
        <f>IF(G31/0.95-G31&lt;G33,"Exceeds 5%","")</f>
      </c>
    </row>
    <row r="34" spans="1:7" ht="15.75">
      <c r="A34" s="23" t="str">
        <f>CONCATENATE("Violation of Budget Law for ",G1-2,"/",G1-1,":")</f>
        <v>Violation of Budget Law for 2008/2009:</v>
      </c>
      <c r="B34" s="332" t="str">
        <f>IF(C31&gt;B33,"Yes","No")</f>
        <v>No</v>
      </c>
      <c r="C34" s="332" t="str">
        <f>IF(E31&gt;C33,"Yes","No")</f>
        <v>No</v>
      </c>
      <c r="D34" s="21"/>
      <c r="E34" s="471" t="s">
        <v>77</v>
      </c>
      <c r="F34" s="472"/>
      <c r="G34" s="85">
        <f>G31+G33</f>
        <v>0</v>
      </c>
    </row>
    <row r="35" spans="1:7" ht="15.75">
      <c r="A35" s="23" t="str">
        <f>CONCATENATE("Possible Cash Violation for ",G1-2,":")</f>
        <v>Possible Cash Violation for 2008:</v>
      </c>
      <c r="B35" s="332" t="str">
        <f>IF(C32&lt;0,"Yes","No")</f>
        <v>No</v>
      </c>
      <c r="C35" s="332"/>
      <c r="D35" s="21"/>
      <c r="E35" s="471" t="s">
        <v>173</v>
      </c>
      <c r="F35" s="472"/>
      <c r="G35" s="262">
        <f>IF(G34-G21&gt;0,G34-G21,0)</f>
        <v>0</v>
      </c>
    </row>
    <row r="36" spans="1:7" ht="15.75">
      <c r="A36" s="24"/>
      <c r="B36" s="24"/>
      <c r="C36" s="473" t="s">
        <v>78</v>
      </c>
      <c r="D36" s="474"/>
      <c r="E36" s="474"/>
      <c r="F36" s="230">
        <f>(inputOth!$E$46)</f>
        <v>0</v>
      </c>
      <c r="G36" s="85">
        <f>ROUND(IF(F36&gt;0,(G35*F36),0),0)</f>
        <v>0</v>
      </c>
    </row>
    <row r="37" spans="1:7" ht="15.75">
      <c r="A37" s="21"/>
      <c r="B37" s="21"/>
      <c r="C37" s="465" t="str">
        <f>CONCATENATE("Amount of  ",$G$1-1," Ad Valorem Tax")</f>
        <v>Amount of  2009 Ad Valorem Tax</v>
      </c>
      <c r="D37" s="466"/>
      <c r="E37" s="466"/>
      <c r="F37" s="467"/>
      <c r="G37" s="387">
        <f>G35+G36</f>
        <v>0</v>
      </c>
    </row>
    <row r="38" spans="1:7" ht="15.75">
      <c r="A38" s="21"/>
      <c r="B38" s="21"/>
      <c r="C38" s="21"/>
      <c r="D38" s="21"/>
      <c r="E38" s="21"/>
      <c r="F38" s="21"/>
      <c r="G38" s="21"/>
    </row>
    <row r="39" spans="1:7" ht="15.75">
      <c r="A39" s="25" t="s">
        <v>156</v>
      </c>
      <c r="B39" s="25"/>
      <c r="C39" s="31"/>
      <c r="D39" s="31"/>
      <c r="E39" s="31"/>
      <c r="F39" s="31"/>
      <c r="G39" s="31"/>
    </row>
    <row r="40" spans="1:7" ht="15.75">
      <c r="A40" s="21"/>
      <c r="B40" s="21"/>
      <c r="C40" s="485" t="s">
        <v>180</v>
      </c>
      <c r="D40" s="486"/>
      <c r="E40" s="481" t="s">
        <v>317</v>
      </c>
      <c r="F40" s="482"/>
      <c r="G40" s="33" t="s">
        <v>318</v>
      </c>
    </row>
    <row r="41" spans="1:7" ht="15.75">
      <c r="A41" s="138">
        <f>inputPrYr!B26</f>
        <v>0</v>
      </c>
      <c r="B41" s="138"/>
      <c r="C41" s="483">
        <f>G1-2</f>
        <v>2008</v>
      </c>
      <c r="D41" s="484"/>
      <c r="E41" s="483">
        <f>G1-1</f>
        <v>2009</v>
      </c>
      <c r="F41" s="484"/>
      <c r="G41" s="147">
        <f>G1</f>
        <v>2010</v>
      </c>
    </row>
    <row r="42" spans="1:7" ht="15.75">
      <c r="A42" s="306" t="s">
        <v>289</v>
      </c>
      <c r="B42" s="312"/>
      <c r="C42" s="455"/>
      <c r="D42" s="456"/>
      <c r="E42" s="461">
        <f>C67</f>
        <v>0</v>
      </c>
      <c r="F42" s="462"/>
      <c r="G42" s="85">
        <f>E67</f>
        <v>0</v>
      </c>
    </row>
    <row r="43" spans="1:7" ht="15.75">
      <c r="A43" s="311" t="s">
        <v>291</v>
      </c>
      <c r="B43" s="312"/>
      <c r="C43" s="463"/>
      <c r="D43" s="464"/>
      <c r="E43" s="463"/>
      <c r="F43" s="464"/>
      <c r="G43" s="40"/>
    </row>
    <row r="44" spans="1:7" ht="15.75">
      <c r="A44" s="37" t="s">
        <v>157</v>
      </c>
      <c r="B44" s="312"/>
      <c r="C44" s="455"/>
      <c r="D44" s="456"/>
      <c r="E44" s="461">
        <f>inputPrYr!E26</f>
        <v>0</v>
      </c>
      <c r="F44" s="462"/>
      <c r="G44" s="97" t="s">
        <v>144</v>
      </c>
    </row>
    <row r="45" spans="1:7" ht="15.75">
      <c r="A45" s="37" t="s">
        <v>158</v>
      </c>
      <c r="B45" s="312"/>
      <c r="C45" s="455"/>
      <c r="D45" s="456"/>
      <c r="E45" s="455"/>
      <c r="F45" s="456"/>
      <c r="G45" s="9"/>
    </row>
    <row r="46" spans="1:7" ht="15.75">
      <c r="A46" s="37" t="s">
        <v>159</v>
      </c>
      <c r="B46" s="312"/>
      <c r="C46" s="455"/>
      <c r="D46" s="456"/>
      <c r="E46" s="455"/>
      <c r="F46" s="456"/>
      <c r="G46" s="85" t="str">
        <f>mvalloc!C16</f>
        <v>  </v>
      </c>
    </row>
    <row r="47" spans="1:7" ht="15.75">
      <c r="A47" s="37" t="s">
        <v>160</v>
      </c>
      <c r="B47" s="312"/>
      <c r="C47" s="455"/>
      <c r="D47" s="456"/>
      <c r="E47" s="455"/>
      <c r="F47" s="456"/>
      <c r="G47" s="85" t="str">
        <f>mvalloc!D16</f>
        <v> </v>
      </c>
    </row>
    <row r="48" spans="1:7" ht="15.75">
      <c r="A48" s="316" t="s">
        <v>266</v>
      </c>
      <c r="B48" s="312"/>
      <c r="C48" s="455"/>
      <c r="D48" s="456"/>
      <c r="E48" s="455"/>
      <c r="F48" s="456"/>
      <c r="G48" s="85" t="str">
        <f>mvalloc!E16</f>
        <v> </v>
      </c>
    </row>
    <row r="49" spans="1:7" ht="15.75">
      <c r="A49" s="317" t="s">
        <v>337</v>
      </c>
      <c r="B49" s="312"/>
      <c r="C49" s="455"/>
      <c r="D49" s="456"/>
      <c r="E49" s="455"/>
      <c r="F49" s="456"/>
      <c r="G49" s="85" t="str">
        <f>mvalloc!F16</f>
        <v> </v>
      </c>
    </row>
    <row r="50" spans="1:7" ht="15.75">
      <c r="A50" s="296"/>
      <c r="B50" s="313"/>
      <c r="C50" s="455"/>
      <c r="D50" s="456"/>
      <c r="E50" s="455"/>
      <c r="F50" s="456"/>
      <c r="G50" s="9"/>
    </row>
    <row r="51" spans="1:7" ht="15.75">
      <c r="A51" s="296"/>
      <c r="B51" s="313"/>
      <c r="C51" s="455"/>
      <c r="D51" s="456"/>
      <c r="E51" s="455"/>
      <c r="F51" s="456"/>
      <c r="G51" s="9"/>
    </row>
    <row r="52" spans="1:7" ht="15.75">
      <c r="A52" s="307" t="s">
        <v>164</v>
      </c>
      <c r="B52" s="313"/>
      <c r="C52" s="455"/>
      <c r="D52" s="456"/>
      <c r="E52" s="455"/>
      <c r="F52" s="456"/>
      <c r="G52" s="9"/>
    </row>
    <row r="53" spans="1:7" ht="15.75">
      <c r="A53" s="316" t="s">
        <v>26</v>
      </c>
      <c r="B53" s="312"/>
      <c r="C53" s="455"/>
      <c r="D53" s="456"/>
      <c r="E53" s="455"/>
      <c r="F53" s="456"/>
      <c r="G53" s="308"/>
    </row>
    <row r="54" spans="1:7" ht="15.75">
      <c r="A54" s="306" t="s">
        <v>28</v>
      </c>
      <c r="B54" s="312"/>
      <c r="C54" s="475">
        <f>IF(C55*0.1&lt;C53,"Exceed 10% Rule","")</f>
      </c>
      <c r="D54" s="476"/>
      <c r="E54" s="475">
        <f>IF(E55*0.1&lt;E53,"Exceed 10% Rule","")</f>
      </c>
      <c r="F54" s="476"/>
      <c r="G54" s="348">
        <f>IF(G55*0.1+G72&lt;G53,"Exceed 10% Rule","")</f>
      </c>
    </row>
    <row r="55" spans="1:7" ht="15.75">
      <c r="A55" s="153" t="s">
        <v>165</v>
      </c>
      <c r="B55" s="312"/>
      <c r="C55" s="479">
        <f>SUM(C44:C53)</f>
        <v>0</v>
      </c>
      <c r="D55" s="480"/>
      <c r="E55" s="479">
        <f>SUM(E44:E53)</f>
        <v>0</v>
      </c>
      <c r="F55" s="480"/>
      <c r="G55" s="263">
        <f>SUM(G44:G53)</f>
        <v>0</v>
      </c>
    </row>
    <row r="56" spans="1:7" ht="15.75">
      <c r="A56" s="153" t="s">
        <v>166</v>
      </c>
      <c r="B56" s="312"/>
      <c r="C56" s="479">
        <f>C42+C55</f>
        <v>0</v>
      </c>
      <c r="D56" s="480"/>
      <c r="E56" s="479">
        <f>E42+E55</f>
        <v>0</v>
      </c>
      <c r="F56" s="480"/>
      <c r="G56" s="263">
        <f>G42+G55</f>
        <v>0</v>
      </c>
    </row>
    <row r="57" spans="1:7" ht="15.75">
      <c r="A57" s="37" t="s">
        <v>168</v>
      </c>
      <c r="B57" s="312"/>
      <c r="C57" s="499"/>
      <c r="D57" s="500"/>
      <c r="E57" s="499"/>
      <c r="F57" s="500"/>
      <c r="G57" s="42"/>
    </row>
    <row r="58" spans="1:7" ht="15.75">
      <c r="A58" s="296"/>
      <c r="B58" s="313"/>
      <c r="C58" s="455"/>
      <c r="D58" s="456"/>
      <c r="E58" s="455"/>
      <c r="F58" s="456"/>
      <c r="G58" s="9"/>
    </row>
    <row r="59" spans="1:7" ht="15.75">
      <c r="A59" s="296"/>
      <c r="B59" s="313"/>
      <c r="C59" s="455"/>
      <c r="D59" s="456"/>
      <c r="E59" s="455"/>
      <c r="F59" s="456"/>
      <c r="G59" s="9"/>
    </row>
    <row r="60" spans="1:7" ht="15.75">
      <c r="A60" s="296"/>
      <c r="B60" s="313"/>
      <c r="C60" s="455"/>
      <c r="D60" s="456"/>
      <c r="E60" s="455"/>
      <c r="F60" s="456"/>
      <c r="G60" s="9"/>
    </row>
    <row r="61" spans="1:7" ht="15.75">
      <c r="A61" s="296"/>
      <c r="B61" s="313"/>
      <c r="C61" s="455"/>
      <c r="D61" s="456"/>
      <c r="E61" s="455"/>
      <c r="F61" s="456"/>
      <c r="G61" s="9"/>
    </row>
    <row r="62" spans="1:7" ht="15.75">
      <c r="A62" s="296"/>
      <c r="B62" s="313"/>
      <c r="C62" s="455"/>
      <c r="D62" s="456"/>
      <c r="E62" s="455"/>
      <c r="F62" s="456"/>
      <c r="G62" s="9"/>
    </row>
    <row r="63" spans="1:7" ht="15.75">
      <c r="A63" s="314" t="s">
        <v>25</v>
      </c>
      <c r="B63" s="312"/>
      <c r="C63" s="455"/>
      <c r="D63" s="456"/>
      <c r="E63" s="455"/>
      <c r="F63" s="456"/>
      <c r="G63" s="262">
        <f>nhood!E15</f>
      </c>
    </row>
    <row r="64" spans="1:7" ht="15.75">
      <c r="A64" s="314" t="s">
        <v>26</v>
      </c>
      <c r="B64" s="312"/>
      <c r="C64" s="455"/>
      <c r="D64" s="456"/>
      <c r="E64" s="455"/>
      <c r="F64" s="456"/>
      <c r="G64" s="308"/>
    </row>
    <row r="65" spans="1:7" ht="15.75">
      <c r="A65" s="314" t="s">
        <v>27</v>
      </c>
      <c r="B65" s="312"/>
      <c r="C65" s="475">
        <f>IF(C66*0.1&lt;C64,"Exceed 10% Rule","")</f>
      </c>
      <c r="D65" s="476"/>
      <c r="E65" s="475">
        <f>IF(E66*0.1&lt;E64,"Exceed 10% Rule","")</f>
      </c>
      <c r="F65" s="476"/>
      <c r="G65" s="348">
        <f>IF(G66*0.1&lt;G64,"Exceed 10% Rule","")</f>
      </c>
    </row>
    <row r="66" spans="1:7" ht="15.75">
      <c r="A66" s="153" t="s">
        <v>172</v>
      </c>
      <c r="B66" s="312"/>
      <c r="C66" s="479">
        <f>SUM(C58:C64)</f>
        <v>0</v>
      </c>
      <c r="D66" s="480"/>
      <c r="E66" s="479">
        <f>SUM(E58:E64)</f>
        <v>0</v>
      </c>
      <c r="F66" s="480"/>
      <c r="G66" s="263">
        <f>SUM(G58:G64)</f>
        <v>0</v>
      </c>
    </row>
    <row r="67" spans="1:7" ht="15.75">
      <c r="A67" s="37" t="s">
        <v>290</v>
      </c>
      <c r="B67" s="312"/>
      <c r="C67" s="457">
        <f>C56-C66</f>
        <v>0</v>
      </c>
      <c r="D67" s="458"/>
      <c r="E67" s="457">
        <f>E56-E66</f>
        <v>0</v>
      </c>
      <c r="F67" s="458"/>
      <c r="G67" s="97" t="s">
        <v>144</v>
      </c>
    </row>
    <row r="68" spans="1:8" ht="15.75">
      <c r="A68" s="23" t="str">
        <f>CONCATENATE("",G1-2,"/",G1-1," Budget Authority Amount:")</f>
        <v>2008/2009 Budget Authority Amount:</v>
      </c>
      <c r="B68" s="331">
        <f>inputOth!B68</f>
        <v>0</v>
      </c>
      <c r="C68" s="331">
        <f>inputPrYr!D26</f>
        <v>0</v>
      </c>
      <c r="D68" s="468" t="s">
        <v>76</v>
      </c>
      <c r="E68" s="469"/>
      <c r="F68" s="470"/>
      <c r="G68" s="17"/>
      <c r="H68" s="291">
        <f>IF(G66/0.95-G66&lt;G68,"Exceeds 5%","")</f>
      </c>
    </row>
    <row r="69" spans="1:7" ht="15.75">
      <c r="A69" s="23" t="str">
        <f>CONCATENATE("Violation of Budget Law for ",G1-2,"/",G1-1,":")</f>
        <v>Violation of Budget Law for 2008/2009:</v>
      </c>
      <c r="B69" s="332" t="str">
        <f>IF(C66&gt;B68,"Yes","No")</f>
        <v>No</v>
      </c>
      <c r="C69" s="332" t="str">
        <f>IF(E66&gt;C68,"Yes","No")</f>
        <v>No</v>
      </c>
      <c r="D69" s="21"/>
      <c r="E69" s="471" t="s">
        <v>77</v>
      </c>
      <c r="F69" s="472"/>
      <c r="G69" s="85">
        <f>G66+G68</f>
        <v>0</v>
      </c>
    </row>
    <row r="70" spans="1:7" ht="15.75">
      <c r="A70" s="23" t="str">
        <f>CONCATENATE("Possible Cash Violation for ",G1-2,":")</f>
        <v>Possible Cash Violation for 2008:</v>
      </c>
      <c r="B70" s="332" t="str">
        <f>IF(C67&lt;0,"Yes","No")</f>
        <v>No</v>
      </c>
      <c r="C70" s="332"/>
      <c r="D70" s="21"/>
      <c r="E70" s="471" t="s">
        <v>173</v>
      </c>
      <c r="F70" s="472"/>
      <c r="G70" s="262">
        <f>IF(G69-G56&gt;0,G69-G56,0)</f>
        <v>0</v>
      </c>
    </row>
    <row r="71" spans="1:7" ht="15.75">
      <c r="A71" s="24"/>
      <c r="B71" s="24"/>
      <c r="C71" s="473" t="s">
        <v>78</v>
      </c>
      <c r="D71" s="474"/>
      <c r="E71" s="474"/>
      <c r="F71" s="230">
        <f>(inputOth!$E$46)</f>
        <v>0</v>
      </c>
      <c r="G71" s="85">
        <f>ROUND(IF(F71&gt;0,(G70*F71),0),0)</f>
        <v>0</v>
      </c>
    </row>
    <row r="72" spans="1:7" ht="15.75">
      <c r="A72" s="21"/>
      <c r="B72" s="21"/>
      <c r="C72" s="465" t="str">
        <f>CONCATENATE("Amount of  ",$G$1-1," Ad Valorem Tax")</f>
        <v>Amount of  2009 Ad Valorem Tax</v>
      </c>
      <c r="D72" s="466"/>
      <c r="E72" s="466"/>
      <c r="F72" s="467"/>
      <c r="G72" s="387">
        <f>G70+G71</f>
        <v>0</v>
      </c>
    </row>
    <row r="73" spans="1:7" ht="15.75">
      <c r="A73" s="21"/>
      <c r="B73" s="21"/>
      <c r="C73" s="21"/>
      <c r="D73" s="21"/>
      <c r="E73" s="21"/>
      <c r="F73" s="21"/>
      <c r="G73" s="21"/>
    </row>
    <row r="74" spans="1:7" ht="15.75">
      <c r="A74" s="24"/>
      <c r="B74" s="24" t="s">
        <v>175</v>
      </c>
      <c r="C74" s="100"/>
      <c r="D74" s="137"/>
      <c r="E74" s="21"/>
      <c r="F74" s="21"/>
      <c r="G74" s="21"/>
    </row>
  </sheetData>
  <sheetProtection sheet="1" objects="1" scenarios="1"/>
  <mergeCells count="122">
    <mergeCell ref="C56:D56"/>
    <mergeCell ref="E56:F56"/>
    <mergeCell ref="E55:F55"/>
    <mergeCell ref="E54:F54"/>
    <mergeCell ref="C67:D67"/>
    <mergeCell ref="C66:D66"/>
    <mergeCell ref="C65:D65"/>
    <mergeCell ref="E67:F67"/>
    <mergeCell ref="E66:F66"/>
    <mergeCell ref="E65:F65"/>
    <mergeCell ref="C57:D57"/>
    <mergeCell ref="E44:F44"/>
    <mergeCell ref="E43:F43"/>
    <mergeCell ref="E42:F42"/>
    <mergeCell ref="C44:D44"/>
    <mergeCell ref="C45:D45"/>
    <mergeCell ref="C46:D46"/>
    <mergeCell ref="C47:D47"/>
    <mergeCell ref="C48:D48"/>
    <mergeCell ref="C49:D49"/>
    <mergeCell ref="E41:F41"/>
    <mergeCell ref="E40:F40"/>
    <mergeCell ref="C43:D43"/>
    <mergeCell ref="C42:D42"/>
    <mergeCell ref="C41:D41"/>
    <mergeCell ref="C40:D40"/>
    <mergeCell ref="C20:D20"/>
    <mergeCell ref="C19:D19"/>
    <mergeCell ref="C32:D32"/>
    <mergeCell ref="C31:D31"/>
    <mergeCell ref="C30:D30"/>
    <mergeCell ref="E32:F32"/>
    <mergeCell ref="E31:F31"/>
    <mergeCell ref="E30:F30"/>
    <mergeCell ref="E28:F28"/>
    <mergeCell ref="E29:F29"/>
    <mergeCell ref="E5:F5"/>
    <mergeCell ref="C5:D5"/>
    <mergeCell ref="C6:D6"/>
    <mergeCell ref="C7:D7"/>
    <mergeCell ref="E9:F9"/>
    <mergeCell ref="E8:F8"/>
    <mergeCell ref="E7:F7"/>
    <mergeCell ref="E6:F6"/>
    <mergeCell ref="C12:D12"/>
    <mergeCell ref="C13:D13"/>
    <mergeCell ref="C14:D14"/>
    <mergeCell ref="C15:D15"/>
    <mergeCell ref="C8:D8"/>
    <mergeCell ref="C9:D9"/>
    <mergeCell ref="C10:D10"/>
    <mergeCell ref="C11:D11"/>
    <mergeCell ref="C16:D16"/>
    <mergeCell ref="C17:D17"/>
    <mergeCell ref="C18:D18"/>
    <mergeCell ref="E10:F10"/>
    <mergeCell ref="E11:F11"/>
    <mergeCell ref="E12:F12"/>
    <mergeCell ref="E13:F13"/>
    <mergeCell ref="E14:F14"/>
    <mergeCell ref="E15:F15"/>
    <mergeCell ref="E16:F16"/>
    <mergeCell ref="E17:F17"/>
    <mergeCell ref="E18:F18"/>
    <mergeCell ref="C23:D23"/>
    <mergeCell ref="C24:D24"/>
    <mergeCell ref="E22:F22"/>
    <mergeCell ref="E21:F21"/>
    <mergeCell ref="E20:F20"/>
    <mergeCell ref="E19:F19"/>
    <mergeCell ref="C22:D22"/>
    <mergeCell ref="C21:D21"/>
    <mergeCell ref="C25:D25"/>
    <mergeCell ref="C26:D26"/>
    <mergeCell ref="C27:D27"/>
    <mergeCell ref="C28:D28"/>
    <mergeCell ref="C50:D50"/>
    <mergeCell ref="C51:D51"/>
    <mergeCell ref="C52:D52"/>
    <mergeCell ref="C53:D53"/>
    <mergeCell ref="C29:D29"/>
    <mergeCell ref="E23:F23"/>
    <mergeCell ref="E24:F24"/>
    <mergeCell ref="E25:F25"/>
    <mergeCell ref="E26:F26"/>
    <mergeCell ref="E27:F27"/>
    <mergeCell ref="E49:F49"/>
    <mergeCell ref="E50:F50"/>
    <mergeCell ref="E51:F51"/>
    <mergeCell ref="E52:F52"/>
    <mergeCell ref="E45:F45"/>
    <mergeCell ref="E46:F46"/>
    <mergeCell ref="E47:F47"/>
    <mergeCell ref="E48:F48"/>
    <mergeCell ref="E53:F53"/>
    <mergeCell ref="C58:D58"/>
    <mergeCell ref="C59:D59"/>
    <mergeCell ref="C60:D60"/>
    <mergeCell ref="E58:F58"/>
    <mergeCell ref="E59:F59"/>
    <mergeCell ref="E60:F60"/>
    <mergeCell ref="E57:F57"/>
    <mergeCell ref="C55:D55"/>
    <mergeCell ref="C54:D54"/>
    <mergeCell ref="E61:F61"/>
    <mergeCell ref="E62:F62"/>
    <mergeCell ref="E63:F63"/>
    <mergeCell ref="E64:F64"/>
    <mergeCell ref="C61:D61"/>
    <mergeCell ref="C62:D62"/>
    <mergeCell ref="C63:D63"/>
    <mergeCell ref="C64:D64"/>
    <mergeCell ref="E69:F69"/>
    <mergeCell ref="E70:F70"/>
    <mergeCell ref="C71:E71"/>
    <mergeCell ref="C72:F72"/>
    <mergeCell ref="D33:F33"/>
    <mergeCell ref="E34:F34"/>
    <mergeCell ref="E35:F35"/>
    <mergeCell ref="D68:F68"/>
    <mergeCell ref="C36:E36"/>
    <mergeCell ref="C37:F37"/>
  </mergeCells>
  <conditionalFormatting sqref="G29">
    <cfRule type="cellIs" priority="1" dxfId="245" operator="greaterThan" stopIfTrue="1">
      <formula>$G$31*0.1</formula>
    </cfRule>
  </conditionalFormatting>
  <conditionalFormatting sqref="G33">
    <cfRule type="cellIs" priority="2" dxfId="245" operator="greaterThan" stopIfTrue="1">
      <formula>$G$31/0.95-$G$31</formula>
    </cfRule>
  </conditionalFormatting>
  <conditionalFormatting sqref="G64">
    <cfRule type="cellIs" priority="3" dxfId="245" operator="greaterThan" stopIfTrue="1">
      <formula>$G$66*0.1</formula>
    </cfRule>
  </conditionalFormatting>
  <conditionalFormatting sqref="G68">
    <cfRule type="cellIs" priority="4" dxfId="245" operator="greaterThan" stopIfTrue="1">
      <formula>$G$66/0.95-$G$66</formula>
    </cfRule>
  </conditionalFormatting>
  <conditionalFormatting sqref="C29:D29">
    <cfRule type="cellIs" priority="5" dxfId="0" operator="greaterThan" stopIfTrue="1">
      <formula>$C$31*0.1</formula>
    </cfRule>
  </conditionalFormatting>
  <conditionalFormatting sqref="E29:F29">
    <cfRule type="cellIs" priority="6" dxfId="0" operator="greaterThan" stopIfTrue="1">
      <formula>$E$31*0.1</formula>
    </cfRule>
  </conditionalFormatting>
  <conditionalFormatting sqref="E31:F31">
    <cfRule type="cellIs" priority="7" dxfId="0" operator="greaterThan" stopIfTrue="1">
      <formula>$C$33</formula>
    </cfRule>
  </conditionalFormatting>
  <conditionalFormatting sqref="C31:D31">
    <cfRule type="cellIs" priority="8" dxfId="0" operator="greaterThan" stopIfTrue="1">
      <formula>$B$33</formula>
    </cfRule>
  </conditionalFormatting>
  <conditionalFormatting sqref="C32:D32 C67:D67">
    <cfRule type="cellIs" priority="9" dxfId="0" operator="lessThan" stopIfTrue="1">
      <formula>0</formula>
    </cfRule>
  </conditionalFormatting>
  <conditionalFormatting sqref="C64:D64">
    <cfRule type="cellIs" priority="10" dxfId="0" operator="greaterThan" stopIfTrue="1">
      <formula>$C$66*0.1</formula>
    </cfRule>
  </conditionalFormatting>
  <conditionalFormatting sqref="E66:F66">
    <cfRule type="cellIs" priority="11" dxfId="0" operator="greaterThan" stopIfTrue="1">
      <formula>$C$68</formula>
    </cfRule>
  </conditionalFormatting>
  <conditionalFormatting sqref="C66:D66">
    <cfRule type="cellIs" priority="12" dxfId="0" operator="greaterThan" stopIfTrue="1">
      <formula>$B$68</formula>
    </cfRule>
  </conditionalFormatting>
  <conditionalFormatting sqref="E64:F64">
    <cfRule type="cellIs" priority="13" dxfId="0" operator="greaterThan" stopIfTrue="1">
      <formula>$E$66*0.1</formula>
    </cfRule>
  </conditionalFormatting>
  <conditionalFormatting sqref="E18:F18">
    <cfRule type="cellIs" priority="14" dxfId="0" operator="greaterThan" stopIfTrue="1">
      <formula>$E$20*0.1</formula>
    </cfRule>
  </conditionalFormatting>
  <conditionalFormatting sqref="C18:D18">
    <cfRule type="cellIs" priority="15" dxfId="0" operator="greaterThan" stopIfTrue="1">
      <formula>$C$20*0.1</formula>
    </cfRule>
  </conditionalFormatting>
  <conditionalFormatting sqref="E53:F53">
    <cfRule type="cellIs" priority="16" dxfId="0" operator="greaterThan" stopIfTrue="1">
      <formula>$E$55*0.1</formula>
    </cfRule>
  </conditionalFormatting>
  <conditionalFormatting sqref="C53:D53">
    <cfRule type="cellIs" priority="17" dxfId="0" operator="greaterThan" stopIfTrue="1">
      <formula>$C$55*0.1</formula>
    </cfRule>
  </conditionalFormatting>
  <conditionalFormatting sqref="G53">
    <cfRule type="cellIs" priority="18" dxfId="245" operator="greaterThan" stopIfTrue="1">
      <formula>$G$55*0.1+G72</formula>
    </cfRule>
  </conditionalFormatting>
  <conditionalFormatting sqref="G18">
    <cfRule type="cellIs" priority="19" dxfId="245" operator="greaterThan" stopIfTrue="1">
      <formula>$G$20*0.1+G37</formula>
    </cfRule>
  </conditionalFormatting>
  <printOptions/>
  <pageMargins left="0.5" right="0.5" top="1" bottom="0.5" header="0.5" footer="0.5"/>
  <pageSetup blackAndWhite="1" fitToHeight="1" fitToWidth="1" horizontalDpi="120" verticalDpi="120" orientation="portrait" r:id="rId1"/>
  <headerFooter alignWithMargins="0">
    <oddHeader>&amp;RState of Kansas
City</oddHeader>
    <oddFooter>&amp;Lrevised 8/21/08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86"/>
  <sheetViews>
    <sheetView zoomScale="93" zoomScaleNormal="93" zoomScalePageLayoutView="0" workbookViewId="0" topLeftCell="A79">
      <selection activeCell="A87" sqref="A87"/>
    </sheetView>
  </sheetViews>
  <sheetFormatPr defaultColWidth="8.796875" defaultRowHeight="15"/>
  <cols>
    <col min="1" max="1" width="15.796875" style="0" customWidth="1"/>
    <col min="2" max="2" width="20.796875" style="0" customWidth="1"/>
    <col min="3" max="3" width="9.796875" style="0" customWidth="1"/>
    <col min="4" max="4" width="15.09765625" style="0" customWidth="1"/>
    <col min="5" max="5" width="15.796875" style="0" customWidth="1"/>
  </cols>
  <sheetData>
    <row r="1" spans="1:5" ht="15">
      <c r="A1" s="169" t="str">
        <f>inputPrYr!$D$2</f>
        <v>CITY OF PARK CITY</v>
      </c>
      <c r="B1" s="170"/>
      <c r="C1" s="170"/>
      <c r="D1" s="170"/>
      <c r="E1" s="170">
        <f>inputPrYr!C5</f>
        <v>2010</v>
      </c>
    </row>
    <row r="2" spans="1:5" ht="15">
      <c r="A2" s="170"/>
      <c r="B2" s="170"/>
      <c r="C2" s="170"/>
      <c r="D2" s="170"/>
      <c r="E2" s="170"/>
    </row>
    <row r="3" spans="1:5" ht="15">
      <c r="A3" s="423" t="s">
        <v>410</v>
      </c>
      <c r="B3" s="424"/>
      <c r="C3" s="424"/>
      <c r="D3" s="424"/>
      <c r="E3" s="424"/>
    </row>
    <row r="4" spans="1:5" ht="15">
      <c r="A4" s="170"/>
      <c r="B4" s="170"/>
      <c r="C4" s="170"/>
      <c r="D4" s="170"/>
      <c r="E4" s="170"/>
    </row>
    <row r="5" spans="1:5" ht="15.75">
      <c r="A5" s="123" t="str">
        <f>CONCATENATE("From the County Clerks ",E1," Budget Information:")</f>
        <v>From the County Clerks 2010 Budget Information:</v>
      </c>
      <c r="B5" s="124"/>
      <c r="C5" s="21"/>
      <c r="D5" s="21"/>
      <c r="E5" s="65"/>
    </row>
    <row r="6" spans="1:5" ht="15.75">
      <c r="A6" s="112" t="str">
        <f>CONCATENATE("Total Assessed Valuation for ",E1-1,"")</f>
        <v>Total Assessed Valuation for 2009</v>
      </c>
      <c r="B6" s="115"/>
      <c r="C6" s="115"/>
      <c r="D6" s="115"/>
      <c r="E6" s="9">
        <v>54499845</v>
      </c>
    </row>
    <row r="7" spans="1:5" ht="15.75">
      <c r="A7" s="112" t="str">
        <f>CONCATENATE("New Improvements for ",E1-1,"")</f>
        <v>New Improvements for 2009</v>
      </c>
      <c r="B7" s="115"/>
      <c r="C7" s="115"/>
      <c r="D7" s="115"/>
      <c r="E7" s="18">
        <v>2563981</v>
      </c>
    </row>
    <row r="8" spans="1:5" ht="15.75">
      <c r="A8" s="112" t="str">
        <f>CONCATENATE("Personal Property excluding oil, gas, mobile homes - ",E1-1,"")</f>
        <v>Personal Property excluding oil, gas, mobile homes - 2009</v>
      </c>
      <c r="B8" s="115"/>
      <c r="C8" s="115"/>
      <c r="D8" s="115"/>
      <c r="E8" s="18">
        <v>3887179</v>
      </c>
    </row>
    <row r="9" spans="1:5" ht="15.75">
      <c r="A9" s="113" t="s">
        <v>331</v>
      </c>
      <c r="B9" s="115"/>
      <c r="C9" s="115"/>
      <c r="D9" s="115"/>
      <c r="E9" s="40"/>
    </row>
    <row r="10" spans="1:5" ht="15.75">
      <c r="A10" s="112" t="s">
        <v>282</v>
      </c>
      <c r="B10" s="115"/>
      <c r="C10" s="115"/>
      <c r="D10" s="115"/>
      <c r="E10" s="18">
        <v>0</v>
      </c>
    </row>
    <row r="11" spans="1:5" ht="15.75">
      <c r="A11" s="112" t="s">
        <v>283</v>
      </c>
      <c r="B11" s="115"/>
      <c r="C11" s="115"/>
      <c r="D11" s="115"/>
      <c r="E11" s="18">
        <v>0</v>
      </c>
    </row>
    <row r="12" spans="1:5" ht="15.75">
      <c r="A12" s="112" t="s">
        <v>284</v>
      </c>
      <c r="B12" s="115"/>
      <c r="C12" s="115"/>
      <c r="D12" s="115"/>
      <c r="E12" s="18">
        <v>0</v>
      </c>
    </row>
    <row r="13" spans="1:5" ht="15.75">
      <c r="A13" s="112" t="str">
        <f>CONCATENATE("Property that has changed in use for ",E1-1,"")</f>
        <v>Property that has changed in use for 2009</v>
      </c>
      <c r="B13" s="115"/>
      <c r="C13" s="115"/>
      <c r="D13" s="115"/>
      <c r="E13" s="18">
        <v>1344775</v>
      </c>
    </row>
    <row r="14" spans="1:5" ht="15.75">
      <c r="A14" s="112" t="str">
        <f>CONCATENATE("Personal Property  excluding oil, gas, mobile homes- ",E1-2,"")</f>
        <v>Personal Property  excluding oil, gas, mobile homes- 2008</v>
      </c>
      <c r="B14" s="115"/>
      <c r="C14" s="115"/>
      <c r="D14" s="115"/>
      <c r="E14" s="18">
        <v>4467043</v>
      </c>
    </row>
    <row r="15" spans="1:5" ht="15.75">
      <c r="A15" s="112" t="str">
        <f>CONCATENATE("Gross earnings (intangible) tax estimate for ",E1,"")</f>
        <v>Gross earnings (intangible) tax estimate for 2010</v>
      </c>
      <c r="B15" s="115"/>
      <c r="C15" s="115"/>
      <c r="D15" s="38"/>
      <c r="E15" s="9">
        <v>0</v>
      </c>
    </row>
    <row r="16" spans="1:5" ht="15.75">
      <c r="A16" s="112" t="s">
        <v>332</v>
      </c>
      <c r="B16" s="115"/>
      <c r="C16" s="115"/>
      <c r="D16" s="115"/>
      <c r="E16" s="17">
        <v>0</v>
      </c>
    </row>
    <row r="17" spans="1:5" ht="15.75">
      <c r="A17" s="130"/>
      <c r="B17" s="106"/>
      <c r="C17" s="106"/>
      <c r="D17" s="106"/>
      <c r="E17" s="171"/>
    </row>
    <row r="18" spans="1:5" ht="15.75">
      <c r="A18" s="130" t="str">
        <f>CONCATENATE("Actual Tax Rates for the ",E1-1," Budget:")</f>
        <v>Actual Tax Rates for the 2009 Budget:</v>
      </c>
      <c r="B18" s="106"/>
      <c r="C18" s="106"/>
      <c r="D18" s="106"/>
      <c r="E18" s="171"/>
    </row>
    <row r="19" spans="1:5" ht="15.75">
      <c r="A19" s="429" t="s">
        <v>141</v>
      </c>
      <c r="B19" s="430"/>
      <c r="C19" s="170"/>
      <c r="D19" s="172" t="s">
        <v>200</v>
      </c>
      <c r="E19" s="171"/>
    </row>
    <row r="20" spans="1:5" ht="15.75">
      <c r="A20" s="111" t="s">
        <v>125</v>
      </c>
      <c r="B20" s="20"/>
      <c r="C20" s="106"/>
      <c r="D20" s="288">
        <v>16.158</v>
      </c>
      <c r="E20" s="171"/>
    </row>
    <row r="21" spans="1:5" ht="15.75">
      <c r="A21" s="112" t="s">
        <v>333</v>
      </c>
      <c r="B21" s="115"/>
      <c r="C21" s="106"/>
      <c r="D21" s="289">
        <v>2.742</v>
      </c>
      <c r="E21" s="171"/>
    </row>
    <row r="22" spans="1:5" ht="15.75">
      <c r="A22" s="112" t="str">
        <f>IF(inputPrYr!B19&gt;" ",(inputPrYr!B19)," ")</f>
        <v>Bond &amp; Interest-Ballfield Lgts</v>
      </c>
      <c r="B22" s="115"/>
      <c r="C22" s="106"/>
      <c r="D22" s="289">
        <v>0.128</v>
      </c>
      <c r="E22" s="171"/>
    </row>
    <row r="23" spans="1:5" ht="15.75">
      <c r="A23" s="112" t="str">
        <f>IF(inputPrYr!B20&gt;" ",(inputPrYr!B20)," ")</f>
        <v>Employee Benefit Fund</v>
      </c>
      <c r="B23" s="115"/>
      <c r="C23" s="106"/>
      <c r="D23" s="289">
        <v>14.943</v>
      </c>
      <c r="E23" s="171"/>
    </row>
    <row r="24" spans="1:5" ht="15.75">
      <c r="A24" s="112" t="str">
        <f>IF(inputPrYr!B21&gt;" ",(inputPrYr!B21)," ")</f>
        <v>Library Fund</v>
      </c>
      <c r="B24" s="115"/>
      <c r="C24" s="106"/>
      <c r="D24" s="289">
        <v>3</v>
      </c>
      <c r="E24" s="171"/>
    </row>
    <row r="25" spans="1:5" ht="15.75">
      <c r="A25" s="112" t="str">
        <f>IF(inputPrYr!B22&gt;" ",(inputPrYr!B22)," ")</f>
        <v>Library Employee Benefits</v>
      </c>
      <c r="B25" s="208"/>
      <c r="C25" s="106"/>
      <c r="D25" s="290">
        <v>0.479</v>
      </c>
      <c r="E25" s="171"/>
    </row>
    <row r="26" spans="1:5" ht="15.75">
      <c r="A26" s="112" t="str">
        <f>IF(inputPrYr!B23&gt;" ",(inputPrYr!B23)," ")</f>
        <v> </v>
      </c>
      <c r="B26" s="208"/>
      <c r="C26" s="106"/>
      <c r="D26" s="290"/>
      <c r="E26" s="171"/>
    </row>
    <row r="27" spans="1:5" ht="15.75">
      <c r="A27" s="112" t="str">
        <f>IF(inputPrYr!B24&gt;" ",(inputPrYr!B24)," ")</f>
        <v> </v>
      </c>
      <c r="B27" s="208"/>
      <c r="C27" s="106"/>
      <c r="D27" s="290"/>
      <c r="E27" s="171"/>
    </row>
    <row r="28" spans="1:5" ht="15.75">
      <c r="A28" s="112" t="str">
        <f>IF(inputPrYr!B25&gt;" ",(inputPrYr!B25)," ")</f>
        <v> </v>
      </c>
      <c r="B28" s="208"/>
      <c r="C28" s="106"/>
      <c r="D28" s="290"/>
      <c r="E28" s="171"/>
    </row>
    <row r="29" spans="1:5" ht="15.75">
      <c r="A29" s="112" t="str">
        <f>IF(inputPrYr!B26&gt;" ",(inputPrYr!B26)," ")</f>
        <v> </v>
      </c>
      <c r="B29" s="208"/>
      <c r="C29" s="106"/>
      <c r="D29" s="290"/>
      <c r="E29" s="171"/>
    </row>
    <row r="30" spans="1:5" ht="15.75">
      <c r="A30" s="112" t="str">
        <f>IF(inputPrYr!B27&gt;" ",(inputPrYr!B27)," ")</f>
        <v> </v>
      </c>
      <c r="B30" s="208"/>
      <c r="C30" s="106"/>
      <c r="D30" s="290"/>
      <c r="E30" s="171"/>
    </row>
    <row r="31" spans="1:5" ht="15.75">
      <c r="A31" s="112" t="str">
        <f>IF(inputPrYr!B28&gt;" ",(inputPrYr!B28)," ")</f>
        <v> </v>
      </c>
      <c r="B31" s="208"/>
      <c r="C31" s="106"/>
      <c r="D31" s="290"/>
      <c r="E31" s="171"/>
    </row>
    <row r="32" spans="1:5" ht="15.75">
      <c r="A32" s="114"/>
      <c r="B32" s="42" t="s">
        <v>127</v>
      </c>
      <c r="C32" s="173"/>
      <c r="D32" s="131">
        <f>SUM(D20:D31)</f>
        <v>37.45</v>
      </c>
      <c r="E32" s="114"/>
    </row>
    <row r="33" spans="1:5" ht="15">
      <c r="A33" s="114"/>
      <c r="B33" s="114"/>
      <c r="C33" s="114"/>
      <c r="D33" s="114"/>
      <c r="E33" s="114"/>
    </row>
    <row r="34" spans="1:5" ht="15.75">
      <c r="A34" s="20" t="str">
        <f>CONCATENATE("Final Assessed Valuation from the November 1, ",E1-2," Abstract")</f>
        <v>Final Assessed Valuation from the November 1, 2008 Abstract</v>
      </c>
      <c r="B34" s="174"/>
      <c r="C34" s="174"/>
      <c r="D34" s="174"/>
      <c r="E34" s="17">
        <v>52633194</v>
      </c>
    </row>
    <row r="35" spans="1:5" ht="15">
      <c r="A35" s="114"/>
      <c r="B35" s="114"/>
      <c r="C35" s="114"/>
      <c r="D35" s="114"/>
      <c r="E35" s="114"/>
    </row>
    <row r="36" spans="1:5" ht="15.75">
      <c r="A36" s="125" t="str">
        <f>CONCATENATE("From the County Treasurer's Budget Information - ",E1," Budget Year Estimates:")</f>
        <v>From the County Treasurer's Budget Information - 2010 Budget Year Estimates:</v>
      </c>
      <c r="B36" s="126"/>
      <c r="C36" s="126"/>
      <c r="D36" s="127"/>
      <c r="E36" s="65"/>
    </row>
    <row r="37" spans="1:5" ht="15.75">
      <c r="A37" s="111" t="s">
        <v>128</v>
      </c>
      <c r="B37" s="20"/>
      <c r="C37" s="20"/>
      <c r="D37" s="118"/>
      <c r="E37" s="9">
        <v>241226.84</v>
      </c>
    </row>
    <row r="38" spans="1:5" ht="15.75">
      <c r="A38" s="112" t="s">
        <v>129</v>
      </c>
      <c r="B38" s="115"/>
      <c r="C38" s="115"/>
      <c r="D38" s="119"/>
      <c r="E38" s="9">
        <v>3852.44</v>
      </c>
    </row>
    <row r="39" spans="1:5" ht="15.75">
      <c r="A39" s="112" t="s">
        <v>334</v>
      </c>
      <c r="B39" s="115"/>
      <c r="C39" s="115"/>
      <c r="D39" s="119"/>
      <c r="E39" s="9">
        <v>1577.11</v>
      </c>
    </row>
    <row r="40" spans="1:5" ht="15.75">
      <c r="A40" s="112" t="s">
        <v>335</v>
      </c>
      <c r="B40" s="115"/>
      <c r="C40" s="115"/>
      <c r="D40" s="119"/>
      <c r="E40" s="9">
        <v>0</v>
      </c>
    </row>
    <row r="41" spans="1:5" ht="15.75">
      <c r="A41" s="112" t="s">
        <v>336</v>
      </c>
      <c r="B41" s="115"/>
      <c r="C41" s="115"/>
      <c r="D41" s="119"/>
      <c r="E41" s="9">
        <v>0</v>
      </c>
    </row>
    <row r="42" spans="1:5" ht="15.75">
      <c r="A42" s="111" t="s">
        <v>337</v>
      </c>
      <c r="B42" s="20"/>
      <c r="C42" s="20"/>
      <c r="D42" s="118"/>
      <c r="E42" s="9">
        <v>0</v>
      </c>
    </row>
    <row r="43" spans="1:5" ht="15.75">
      <c r="A43" s="21" t="s">
        <v>338</v>
      </c>
      <c r="B43" s="21"/>
      <c r="C43" s="21"/>
      <c r="D43" s="21"/>
      <c r="E43" s="21"/>
    </row>
    <row r="44" spans="1:5" ht="15.75">
      <c r="A44" s="22" t="s">
        <v>150</v>
      </c>
      <c r="B44" s="27"/>
      <c r="C44" s="27"/>
      <c r="D44" s="21"/>
      <c r="E44" s="21"/>
    </row>
    <row r="45" spans="1:5" ht="15.75">
      <c r="A45" s="130" t="str">
        <f>CONCATENATE("Actual Delinquency for ",E1-2," Tax")</f>
        <v>Actual Delinquency for 2008 Tax</v>
      </c>
      <c r="B45" s="106"/>
      <c r="C45" s="21"/>
      <c r="D45" s="21"/>
      <c r="E45" s="284">
        <v>0.0347</v>
      </c>
    </row>
    <row r="46" spans="1:5" ht="15.75">
      <c r="A46" s="111" t="s">
        <v>339</v>
      </c>
      <c r="B46" s="111"/>
      <c r="C46" s="20"/>
      <c r="D46" s="20"/>
      <c r="E46" s="231">
        <v>0</v>
      </c>
    </row>
    <row r="47" spans="1:5" ht="15.75">
      <c r="A47" s="21"/>
      <c r="B47" s="21"/>
      <c r="C47" s="21"/>
      <c r="D47" s="21"/>
      <c r="E47" s="21"/>
    </row>
    <row r="48" spans="1:5" ht="15.75">
      <c r="A48" s="175" t="s">
        <v>7</v>
      </c>
      <c r="B48" s="176"/>
      <c r="C48" s="177"/>
      <c r="D48" s="177"/>
      <c r="E48" s="177"/>
    </row>
    <row r="49" spans="1:5" ht="15.75">
      <c r="A49" s="155" t="str">
        <f>CONCATENATE("",E1," State Distribution for Kansas Gas Tax")</f>
        <v>2010 State Distribution for Kansas Gas Tax</v>
      </c>
      <c r="B49" s="178"/>
      <c r="C49" s="178"/>
      <c r="D49" s="179"/>
      <c r="E49" s="17">
        <v>220010</v>
      </c>
    </row>
    <row r="50" spans="1:5" ht="15.75">
      <c r="A50" s="180" t="str">
        <f>CONCATENATE("",E1," County Transfers for Gas**")</f>
        <v>2010 County Transfers for Gas**</v>
      </c>
      <c r="B50" s="181"/>
      <c r="C50" s="181"/>
      <c r="D50" s="182"/>
      <c r="E50" s="17">
        <v>108270</v>
      </c>
    </row>
    <row r="51" spans="1:5" ht="15.75">
      <c r="A51" s="180" t="str">
        <f>CONCATENATE("Adjusted ",E1-1," State Distribution for Kansas Gas Tax")</f>
        <v>Adjusted 2009 State Distribution for Kansas Gas Tax</v>
      </c>
      <c r="B51" s="181"/>
      <c r="C51" s="181"/>
      <c r="D51" s="182"/>
      <c r="E51" s="17">
        <v>196790</v>
      </c>
    </row>
    <row r="52" spans="1:5" ht="15.75">
      <c r="A52" s="180" t="str">
        <f>CONCATENATE("Adjusted ",E1-1," County Transfers for Gas**")</f>
        <v>Adjusted 2009 County Transfers for Gas**</v>
      </c>
      <c r="B52" s="181"/>
      <c r="C52" s="181"/>
      <c r="D52" s="182"/>
      <c r="E52" s="17">
        <v>93520</v>
      </c>
    </row>
    <row r="53" spans="1:5" ht="15.75">
      <c r="A53" s="431" t="s">
        <v>405</v>
      </c>
      <c r="B53" s="432"/>
      <c r="C53" s="432"/>
      <c r="D53" s="432"/>
      <c r="E53" s="432"/>
    </row>
    <row r="54" spans="1:5" ht="15">
      <c r="A54" s="183" t="s">
        <v>406</v>
      </c>
      <c r="B54" s="183"/>
      <c r="C54" s="183"/>
      <c r="D54" s="183"/>
      <c r="E54" s="183"/>
    </row>
    <row r="55" spans="1:5" ht="15">
      <c r="A55" s="170"/>
      <c r="B55" s="170"/>
      <c r="C55" s="170"/>
      <c r="D55" s="170"/>
      <c r="E55" s="170"/>
    </row>
    <row r="56" spans="1:5" ht="15.75">
      <c r="A56" s="433" t="str">
        <f>CONCATENATE("From the ",E1-2," Budget Certificate Page")</f>
        <v>From the 2008 Budget Certificate Page</v>
      </c>
      <c r="B56" s="434"/>
      <c r="C56" s="170"/>
      <c r="D56" s="170"/>
      <c r="E56" s="170"/>
    </row>
    <row r="57" spans="1:5" ht="15.75">
      <c r="A57" s="325"/>
      <c r="B57" s="325" t="str">
        <f>CONCATENATE("",E1-2," Expenditure Amounts")</f>
        <v>2008 Expenditure Amounts</v>
      </c>
      <c r="C57" s="427" t="str">
        <f>CONCATENATE("Note: If the ",E1-2," budget was amended, then the")</f>
        <v>Note: If the 2008 budget was amended, then the</v>
      </c>
      <c r="D57" s="428"/>
      <c r="E57" s="428"/>
    </row>
    <row r="58" spans="1:5" ht="15.75">
      <c r="A58" s="326" t="s">
        <v>15</v>
      </c>
      <c r="B58" s="326" t="s">
        <v>16</v>
      </c>
      <c r="C58" s="327" t="s">
        <v>17</v>
      </c>
      <c r="D58" s="328"/>
      <c r="E58" s="328"/>
    </row>
    <row r="59" spans="1:5" ht="15.75">
      <c r="A59" s="329" t="str">
        <f>inputPrYr!B16</f>
        <v>General</v>
      </c>
      <c r="B59" s="17">
        <v>3536434</v>
      </c>
      <c r="C59" s="327" t="s">
        <v>18</v>
      </c>
      <c r="D59" s="330"/>
      <c r="E59" s="330"/>
    </row>
    <row r="60" spans="1:5" ht="15.75">
      <c r="A60" s="329" t="str">
        <f>inputPrYr!B17</f>
        <v>Debt Service</v>
      </c>
      <c r="B60" s="17">
        <v>2321834</v>
      </c>
      <c r="C60" s="327"/>
      <c r="D60" s="330"/>
      <c r="E60" s="330"/>
    </row>
    <row r="61" spans="1:5" ht="15.75">
      <c r="A61" s="329" t="str">
        <f>inputPrYr!B19</f>
        <v>Bond &amp; Interest-Ballfield Lgts</v>
      </c>
      <c r="B61" s="17">
        <v>7330</v>
      </c>
      <c r="C61" s="170"/>
      <c r="D61" s="170"/>
      <c r="E61" s="170"/>
    </row>
    <row r="62" spans="1:5" ht="15.75">
      <c r="A62" s="329" t="str">
        <f>inputPrYr!B20</f>
        <v>Employee Benefit Fund</v>
      </c>
      <c r="B62" s="17">
        <v>974489</v>
      </c>
      <c r="C62" s="170"/>
      <c r="D62" s="170"/>
      <c r="E62" s="170"/>
    </row>
    <row r="63" spans="1:5" ht="15.75">
      <c r="A63" s="329" t="str">
        <f>inputPrYr!B21</f>
        <v>Library Fund</v>
      </c>
      <c r="B63" s="17">
        <v>191633</v>
      </c>
      <c r="C63" s="170"/>
      <c r="D63" s="170"/>
      <c r="E63" s="170"/>
    </row>
    <row r="64" spans="1:5" ht="15.75">
      <c r="A64" s="329" t="str">
        <f>inputPrYr!B22</f>
        <v>Library Employee Benefits</v>
      </c>
      <c r="B64" s="17">
        <v>17070</v>
      </c>
      <c r="C64" s="170"/>
      <c r="D64" s="170"/>
      <c r="E64" s="170"/>
    </row>
    <row r="65" spans="1:5" ht="15.75">
      <c r="A65" s="329">
        <f>inputPrYr!B23</f>
        <v>0</v>
      </c>
      <c r="B65" s="17"/>
      <c r="C65" s="170"/>
      <c r="D65" s="170"/>
      <c r="E65" s="170"/>
    </row>
    <row r="66" spans="1:5" ht="15.75">
      <c r="A66" s="329">
        <f>inputPrYr!B24</f>
        <v>0</v>
      </c>
      <c r="B66" s="17"/>
      <c r="C66" s="170"/>
      <c r="D66" s="170"/>
      <c r="E66" s="170"/>
    </row>
    <row r="67" spans="1:5" ht="15.75">
      <c r="A67" s="329">
        <f>inputPrYr!B25</f>
        <v>0</v>
      </c>
      <c r="B67" s="17"/>
      <c r="C67" s="170"/>
      <c r="D67" s="170"/>
      <c r="E67" s="170"/>
    </row>
    <row r="68" spans="1:5" ht="15.75">
      <c r="A68" s="329">
        <f>inputPrYr!B26</f>
        <v>0</v>
      </c>
      <c r="B68" s="17"/>
      <c r="C68" s="170"/>
      <c r="D68" s="170"/>
      <c r="E68" s="170"/>
    </row>
    <row r="69" spans="1:5" ht="15.75">
      <c r="A69" s="329">
        <f>inputPrYr!B27</f>
        <v>0</v>
      </c>
      <c r="B69" s="17"/>
      <c r="C69" s="170"/>
      <c r="D69" s="170"/>
      <c r="E69" s="170"/>
    </row>
    <row r="70" spans="1:5" ht="15.75">
      <c r="A70" s="329">
        <f>inputPrYr!B28</f>
        <v>0</v>
      </c>
      <c r="B70" s="17"/>
      <c r="C70" s="170"/>
      <c r="D70" s="170"/>
      <c r="E70" s="170"/>
    </row>
    <row r="71" spans="1:5" ht="15.75">
      <c r="A71" s="329" t="str">
        <f>inputPrYr!B32</f>
        <v>Special Highway</v>
      </c>
      <c r="B71" s="17">
        <v>940000</v>
      </c>
      <c r="C71" s="170"/>
      <c r="D71" s="170"/>
      <c r="E71" s="170"/>
    </row>
    <row r="72" spans="1:5" ht="15.75">
      <c r="A72" s="329" t="str">
        <f>inputPrYr!B33</f>
        <v>Convention &amp; Tourism</v>
      </c>
      <c r="B72" s="17">
        <v>254500</v>
      </c>
      <c r="C72" s="170"/>
      <c r="D72" s="170"/>
      <c r="E72" s="170"/>
    </row>
    <row r="73" spans="1:5" ht="15.75">
      <c r="A73" s="329" t="str">
        <f>inputPrYr!B34</f>
        <v>Special Alcohol/Drug(Police)</v>
      </c>
      <c r="B73" s="17">
        <v>17000</v>
      </c>
      <c r="C73" s="170"/>
      <c r="D73" s="170"/>
      <c r="E73" s="170"/>
    </row>
    <row r="74" spans="1:5" ht="15.75">
      <c r="A74" s="329" t="str">
        <f>inputPrYr!B35</f>
        <v>Special Alcohol (Park)</v>
      </c>
      <c r="B74" s="17">
        <v>17000</v>
      </c>
      <c r="C74" s="170"/>
      <c r="D74" s="170"/>
      <c r="E74" s="170"/>
    </row>
    <row r="75" spans="1:5" ht="15.75">
      <c r="A75" s="329" t="str">
        <f>inputPrYr!B36</f>
        <v>Police &amp; Court Training</v>
      </c>
      <c r="B75" s="17">
        <v>34000</v>
      </c>
      <c r="C75" s="170"/>
      <c r="D75" s="170"/>
      <c r="E75" s="170"/>
    </row>
    <row r="76" spans="1:5" ht="15.75">
      <c r="A76" s="329" t="str">
        <f>inputPrYr!B37</f>
        <v>Solid Waste Utility Fund</v>
      </c>
      <c r="B76" s="17">
        <v>245000</v>
      </c>
      <c r="C76" s="170"/>
      <c r="D76" s="170"/>
      <c r="E76" s="170"/>
    </row>
    <row r="77" spans="1:5" ht="15.75">
      <c r="A77" s="329" t="str">
        <f>inputPrYr!B38</f>
        <v>Sewer Special Reserve Funds</v>
      </c>
      <c r="B77" s="17">
        <v>260000</v>
      </c>
      <c r="C77" s="170"/>
      <c r="D77" s="170"/>
      <c r="E77" s="170"/>
    </row>
    <row r="78" spans="1:5" ht="15.75">
      <c r="A78" s="329" t="str">
        <f>inputPrYr!B39</f>
        <v>Water Special Reserve Funds</v>
      </c>
      <c r="B78" s="17">
        <v>109779</v>
      </c>
      <c r="C78" s="170"/>
      <c r="D78" s="170"/>
      <c r="E78" s="170"/>
    </row>
    <row r="79" spans="1:5" ht="15.75">
      <c r="A79" s="329" t="str">
        <f>inputPrYr!B40</f>
        <v>CCUA Water/Sewer Fund</v>
      </c>
      <c r="B79" s="17">
        <v>163675</v>
      </c>
      <c r="C79" s="170"/>
      <c r="D79" s="170"/>
      <c r="E79" s="170"/>
    </row>
    <row r="80" spans="1:5" ht="15.75">
      <c r="A80" s="329">
        <f>inputPrYr!B41</f>
        <v>0</v>
      </c>
      <c r="B80" s="17"/>
      <c r="C80" s="170"/>
      <c r="D80" s="170"/>
      <c r="E80" s="170"/>
    </row>
    <row r="81" spans="1:5" ht="15.75">
      <c r="A81" s="329">
        <f>inputPrYr!B42</f>
        <v>0</v>
      </c>
      <c r="B81" s="17"/>
      <c r="C81" s="170"/>
      <c r="D81" s="170"/>
      <c r="E81" s="170"/>
    </row>
    <row r="82" spans="1:5" ht="15.75">
      <c r="A82" s="329">
        <f>inputPrYr!B43</f>
        <v>0</v>
      </c>
      <c r="B82" s="17"/>
      <c r="C82" s="170"/>
      <c r="D82" s="170"/>
      <c r="E82" s="170"/>
    </row>
    <row r="83" spans="1:5" ht="15.75">
      <c r="A83" s="329" t="str">
        <f>inputPrYr!B45</f>
        <v>Sewer Utility</v>
      </c>
      <c r="B83" s="17">
        <v>1252786</v>
      </c>
      <c r="C83" s="170"/>
      <c r="D83" s="170"/>
      <c r="E83" s="170"/>
    </row>
    <row r="84" spans="1:5" ht="15.75">
      <c r="A84" s="329" t="str">
        <f>inputPrYr!B46</f>
        <v>Water Utility</v>
      </c>
      <c r="B84" s="17">
        <v>7510220</v>
      </c>
      <c r="C84" s="170"/>
      <c r="D84" s="170"/>
      <c r="E84" s="170"/>
    </row>
    <row r="85" spans="1:5" ht="15.75">
      <c r="A85" s="329" t="str">
        <f>inputPrYr!B47</f>
        <v>Roving Senior Director Trust</v>
      </c>
      <c r="B85" s="17">
        <v>40469</v>
      </c>
      <c r="C85" s="170"/>
      <c r="D85" s="170"/>
      <c r="E85" s="170"/>
    </row>
    <row r="86" spans="1:5" ht="15.75">
      <c r="A86" s="329">
        <f>inputPrYr!B48</f>
        <v>0</v>
      </c>
      <c r="B86" s="17"/>
      <c r="C86" s="170"/>
      <c r="D86" s="170"/>
      <c r="E86" s="170"/>
    </row>
  </sheetData>
  <sheetProtection sheet="1" objects="1" scenarios="1"/>
  <mergeCells count="5">
    <mergeCell ref="C57:E57"/>
    <mergeCell ref="A19:B19"/>
    <mergeCell ref="A53:E53"/>
    <mergeCell ref="A3:E3"/>
    <mergeCell ref="A56:B56"/>
  </mergeCells>
  <printOptions/>
  <pageMargins left="0.75" right="0.75" top="1" bottom="1" header="0.5" footer="0.5"/>
  <pageSetup blackAndWhite="1" fitToHeight="1" fitToWidth="1" horizontalDpi="600" verticalDpi="600" orientation="portrait" r:id="rId1"/>
</worksheet>
</file>

<file path=xl/worksheets/sheet30.xml><?xml version="1.0" encoding="utf-8"?>
<worksheet xmlns="http://schemas.openxmlformats.org/spreadsheetml/2006/main" xmlns:r="http://schemas.openxmlformats.org/officeDocument/2006/relationships">
  <sheetPr>
    <pageSetUpPr fitToPage="1"/>
  </sheetPr>
  <dimension ref="A1:H73"/>
  <sheetViews>
    <sheetView zoomScalePageLayoutView="0" workbookViewId="0" topLeftCell="A1">
      <selection activeCell="B1" sqref="B1"/>
    </sheetView>
  </sheetViews>
  <sheetFormatPr defaultColWidth="8.796875" defaultRowHeight="15"/>
  <cols>
    <col min="1" max="1" width="28.796875" style="7" customWidth="1"/>
    <col min="2" max="2" width="9.59765625" style="7" customWidth="1"/>
    <col min="3" max="3" width="10.3984375" style="7" customWidth="1"/>
    <col min="4" max="4" width="5.796875" style="7" customWidth="1"/>
    <col min="5" max="5" width="9.69921875" style="7" customWidth="1"/>
    <col min="6" max="6" width="6.69921875" style="7" customWidth="1"/>
    <col min="7" max="7" width="16.19921875" style="7" customWidth="1"/>
    <col min="8" max="16384" width="8.8984375" style="7" customWidth="1"/>
  </cols>
  <sheetData>
    <row r="1" spans="1:7" ht="15.75">
      <c r="A1" s="72" t="str">
        <f>(inputPrYr!D2)</f>
        <v>CITY OF PARK CITY</v>
      </c>
      <c r="B1" s="72"/>
      <c r="C1" s="21"/>
      <c r="D1" s="21"/>
      <c r="E1" s="21"/>
      <c r="F1" s="21"/>
      <c r="G1" s="139">
        <f>inputPrYr!C5</f>
        <v>2010</v>
      </c>
    </row>
    <row r="2" spans="1:7" ht="15.75">
      <c r="A2" s="21"/>
      <c r="B2" s="21"/>
      <c r="C2" s="21"/>
      <c r="D2" s="21"/>
      <c r="E2" s="21"/>
      <c r="F2" s="21"/>
      <c r="G2" s="24"/>
    </row>
    <row r="3" spans="1:7" ht="15.75">
      <c r="A3" s="90" t="s">
        <v>233</v>
      </c>
      <c r="B3" s="90"/>
      <c r="C3" s="94"/>
      <c r="D3" s="94"/>
      <c r="E3" s="94"/>
      <c r="F3" s="94"/>
      <c r="G3" s="95"/>
    </row>
    <row r="4" spans="1:7" ht="15.75">
      <c r="A4" s="21"/>
      <c r="B4" s="21"/>
      <c r="C4" s="96"/>
      <c r="D4" s="96"/>
      <c r="E4" s="96"/>
      <c r="F4" s="96"/>
      <c r="G4" s="96"/>
    </row>
    <row r="5" spans="1:7" ht="15.75">
      <c r="A5" s="25" t="s">
        <v>156</v>
      </c>
      <c r="B5" s="25"/>
      <c r="C5" s="485" t="s">
        <v>180</v>
      </c>
      <c r="D5" s="486"/>
      <c r="E5" s="481" t="s">
        <v>317</v>
      </c>
      <c r="F5" s="482"/>
      <c r="G5" s="33" t="s">
        <v>318</v>
      </c>
    </row>
    <row r="6" spans="1:7" ht="15.75">
      <c r="A6" s="138">
        <f>inputPrYr!B23</f>
        <v>0</v>
      </c>
      <c r="B6" s="138"/>
      <c r="C6" s="483">
        <f>G1-2</f>
        <v>2008</v>
      </c>
      <c r="D6" s="484"/>
      <c r="E6" s="483">
        <f>G1-1</f>
        <v>2009</v>
      </c>
      <c r="F6" s="484"/>
      <c r="G6" s="147">
        <f>G1</f>
        <v>2010</v>
      </c>
    </row>
    <row r="7" spans="1:7" ht="15.75">
      <c r="A7" s="306" t="s">
        <v>289</v>
      </c>
      <c r="B7" s="312"/>
      <c r="C7" s="455"/>
      <c r="D7" s="456"/>
      <c r="E7" s="461">
        <f>C31</f>
        <v>0</v>
      </c>
      <c r="F7" s="462"/>
      <c r="G7" s="85">
        <f>E31</f>
        <v>0</v>
      </c>
    </row>
    <row r="8" spans="1:7" ht="15.75">
      <c r="A8" s="311" t="s">
        <v>291</v>
      </c>
      <c r="B8" s="312"/>
      <c r="C8" s="463"/>
      <c r="D8" s="464"/>
      <c r="E8" s="463"/>
      <c r="F8" s="464"/>
      <c r="G8" s="40"/>
    </row>
    <row r="9" spans="1:7" ht="15.75">
      <c r="A9" s="37" t="s">
        <v>157</v>
      </c>
      <c r="B9" s="312"/>
      <c r="C9" s="455"/>
      <c r="D9" s="456"/>
      <c r="E9" s="461">
        <f>inputPrYr!E23</f>
        <v>0</v>
      </c>
      <c r="F9" s="462"/>
      <c r="G9" s="97" t="s">
        <v>144</v>
      </c>
    </row>
    <row r="10" spans="1:7" ht="15.75">
      <c r="A10" s="37" t="s">
        <v>158</v>
      </c>
      <c r="B10" s="312"/>
      <c r="C10" s="455"/>
      <c r="D10" s="456"/>
      <c r="E10" s="455"/>
      <c r="F10" s="456"/>
      <c r="G10" s="9"/>
    </row>
    <row r="11" spans="1:7" ht="15.75">
      <c r="A11" s="37" t="s">
        <v>159</v>
      </c>
      <c r="B11" s="312"/>
      <c r="C11" s="455"/>
      <c r="D11" s="456"/>
      <c r="E11" s="455"/>
      <c r="F11" s="456"/>
      <c r="G11" s="85" t="str">
        <f>mvalloc!C13</f>
        <v>  </v>
      </c>
    </row>
    <row r="12" spans="1:7" ht="15.75">
      <c r="A12" s="37" t="s">
        <v>160</v>
      </c>
      <c r="B12" s="312"/>
      <c r="C12" s="455"/>
      <c r="D12" s="456"/>
      <c r="E12" s="455"/>
      <c r="F12" s="456"/>
      <c r="G12" s="85" t="str">
        <f>mvalloc!D13</f>
        <v> </v>
      </c>
    </row>
    <row r="13" spans="1:7" ht="15.75">
      <c r="A13" s="316" t="s">
        <v>266</v>
      </c>
      <c r="B13" s="312"/>
      <c r="C13" s="455"/>
      <c r="D13" s="456"/>
      <c r="E13" s="455"/>
      <c r="F13" s="456"/>
      <c r="G13" s="85" t="str">
        <f>mvalloc!E13</f>
        <v> </v>
      </c>
    </row>
    <row r="14" spans="1:7" ht="15.75">
      <c r="A14" s="317" t="s">
        <v>337</v>
      </c>
      <c r="B14" s="312"/>
      <c r="C14" s="455"/>
      <c r="D14" s="456"/>
      <c r="E14" s="455"/>
      <c r="F14" s="456"/>
      <c r="G14" s="85" t="str">
        <f>mvalloc!F13</f>
        <v> </v>
      </c>
    </row>
    <row r="15" spans="1:7" ht="15.75">
      <c r="A15" s="296"/>
      <c r="B15" s="313"/>
      <c r="C15" s="455"/>
      <c r="D15" s="456"/>
      <c r="E15" s="455"/>
      <c r="F15" s="456"/>
      <c r="G15" s="9"/>
    </row>
    <row r="16" spans="1:7" ht="15.75">
      <c r="A16" s="296"/>
      <c r="B16" s="313"/>
      <c r="C16" s="455"/>
      <c r="D16" s="456"/>
      <c r="E16" s="455"/>
      <c r="F16" s="456"/>
      <c r="G16" s="9"/>
    </row>
    <row r="17" spans="1:7" ht="15.75">
      <c r="A17" s="307" t="s">
        <v>164</v>
      </c>
      <c r="B17" s="313"/>
      <c r="C17" s="455"/>
      <c r="D17" s="456"/>
      <c r="E17" s="455"/>
      <c r="F17" s="456"/>
      <c r="G17" s="9"/>
    </row>
    <row r="18" spans="1:7" ht="15.75">
      <c r="A18" s="316" t="s">
        <v>26</v>
      </c>
      <c r="B18" s="312"/>
      <c r="C18" s="455"/>
      <c r="D18" s="456"/>
      <c r="E18" s="455"/>
      <c r="F18" s="456"/>
      <c r="G18" s="308"/>
    </row>
    <row r="19" spans="1:7" ht="15.75">
      <c r="A19" s="306" t="s">
        <v>28</v>
      </c>
      <c r="B19" s="312"/>
      <c r="C19" s="475">
        <f>IF(C20*0.1&lt;C18,"Exceed 10% Rule","")</f>
      </c>
      <c r="D19" s="476"/>
      <c r="E19" s="475">
        <f>IF(E20*0.1&lt;E18,"Exceed 10% Rule","")</f>
      </c>
      <c r="F19" s="476"/>
      <c r="G19" s="348">
        <f>IF(G20*0.1+G36&lt;G18,"Exceed 10% Rule","")</f>
      </c>
    </row>
    <row r="20" spans="1:7" ht="15.75">
      <c r="A20" s="153" t="s">
        <v>165</v>
      </c>
      <c r="B20" s="312"/>
      <c r="C20" s="479">
        <f>SUM(C9:C18)</f>
        <v>0</v>
      </c>
      <c r="D20" s="480"/>
      <c r="E20" s="479">
        <f>SUM(E9:E18)</f>
        <v>0</v>
      </c>
      <c r="F20" s="480"/>
      <c r="G20" s="263">
        <f>SUM(G9:G18)</f>
        <v>0</v>
      </c>
    </row>
    <row r="21" spans="1:7" ht="15.75">
      <c r="A21" s="153" t="s">
        <v>166</v>
      </c>
      <c r="B21" s="312"/>
      <c r="C21" s="479">
        <f>C7+C20</f>
        <v>0</v>
      </c>
      <c r="D21" s="480"/>
      <c r="E21" s="479">
        <f>E7+E20</f>
        <v>0</v>
      </c>
      <c r="F21" s="480"/>
      <c r="G21" s="263">
        <f>G7+G20</f>
        <v>0</v>
      </c>
    </row>
    <row r="22" spans="1:7" ht="15.75">
      <c r="A22" s="37" t="s">
        <v>168</v>
      </c>
      <c r="B22" s="312"/>
      <c r="C22" s="499"/>
      <c r="D22" s="500"/>
      <c r="E22" s="499"/>
      <c r="F22" s="500"/>
      <c r="G22" s="42"/>
    </row>
    <row r="23" spans="1:7" ht="15.75">
      <c r="A23" s="296"/>
      <c r="B23" s="313"/>
      <c r="C23" s="455"/>
      <c r="D23" s="456"/>
      <c r="E23" s="455"/>
      <c r="F23" s="456"/>
      <c r="G23" s="9"/>
    </row>
    <row r="24" spans="1:7" ht="15.75">
      <c r="A24" s="296"/>
      <c r="B24" s="313"/>
      <c r="C24" s="455"/>
      <c r="D24" s="456"/>
      <c r="E24" s="455"/>
      <c r="F24" s="456"/>
      <c r="G24" s="9"/>
    </row>
    <row r="25" spans="1:7" ht="15.75">
      <c r="A25" s="296"/>
      <c r="B25" s="313"/>
      <c r="C25" s="455"/>
      <c r="D25" s="456"/>
      <c r="E25" s="455"/>
      <c r="F25" s="456"/>
      <c r="G25" s="9"/>
    </row>
    <row r="26" spans="1:7" ht="15.75">
      <c r="A26" s="296"/>
      <c r="B26" s="313"/>
      <c r="C26" s="455"/>
      <c r="D26" s="456"/>
      <c r="E26" s="455"/>
      <c r="F26" s="456"/>
      <c r="G26" s="9"/>
    </row>
    <row r="27" spans="1:7" ht="15.75">
      <c r="A27" s="314" t="s">
        <v>25</v>
      </c>
      <c r="B27" s="312"/>
      <c r="C27" s="455"/>
      <c r="D27" s="456"/>
      <c r="E27" s="455"/>
      <c r="F27" s="456"/>
      <c r="G27" s="262">
        <f>nhood!E12</f>
      </c>
    </row>
    <row r="28" spans="1:7" ht="15.75">
      <c r="A28" s="314" t="s">
        <v>26</v>
      </c>
      <c r="B28" s="312"/>
      <c r="C28" s="455"/>
      <c r="D28" s="456"/>
      <c r="E28" s="455"/>
      <c r="F28" s="456"/>
      <c r="G28" s="308"/>
    </row>
    <row r="29" spans="1:7" ht="15.75">
      <c r="A29" s="314" t="s">
        <v>27</v>
      </c>
      <c r="B29" s="312"/>
      <c r="C29" s="475">
        <f>IF(C30*0.1&lt;C28,"Exceed 10% Rule","")</f>
      </c>
      <c r="D29" s="476"/>
      <c r="E29" s="475">
        <f>IF(E30*0.1&lt;E28,"Exceed 10% Rule","")</f>
      </c>
      <c r="F29" s="476"/>
      <c r="G29" s="348">
        <f>IF(G30*0.1&lt;G28,"Exceed 10% Rule","")</f>
      </c>
    </row>
    <row r="30" spans="1:7" ht="15.75">
      <c r="A30" s="153" t="s">
        <v>172</v>
      </c>
      <c r="B30" s="312"/>
      <c r="C30" s="479">
        <f>SUM(C23:C28)</f>
        <v>0</v>
      </c>
      <c r="D30" s="480"/>
      <c r="E30" s="479">
        <f>SUM(E23:E28)</f>
        <v>0</v>
      </c>
      <c r="F30" s="480"/>
      <c r="G30" s="263">
        <f>SUM(G23:G28)</f>
        <v>0</v>
      </c>
    </row>
    <row r="31" spans="1:7" ht="15.75">
      <c r="A31" s="37" t="s">
        <v>290</v>
      </c>
      <c r="B31" s="312"/>
      <c r="C31" s="457">
        <f>C21-C30</f>
        <v>0</v>
      </c>
      <c r="D31" s="458"/>
      <c r="E31" s="457">
        <f>E21-E30</f>
        <v>0</v>
      </c>
      <c r="F31" s="458"/>
      <c r="G31" s="97" t="s">
        <v>144</v>
      </c>
    </row>
    <row r="32" spans="1:8" ht="15.75">
      <c r="A32" s="23" t="str">
        <f>CONCATENATE("",G1-2,"/",G1-1," Budget Authority Amount:")</f>
        <v>2008/2009 Budget Authority Amount:</v>
      </c>
      <c r="B32" s="331">
        <f>inputOth!B65</f>
        <v>0</v>
      </c>
      <c r="C32" s="331">
        <f>inputPrYr!D23</f>
        <v>0</v>
      </c>
      <c r="D32" s="468" t="s">
        <v>76</v>
      </c>
      <c r="E32" s="469"/>
      <c r="F32" s="470"/>
      <c r="G32" s="9"/>
      <c r="H32" s="291">
        <f>IF(G30/0.95-G30&lt;G32,"Exceeds 5%","")</f>
      </c>
    </row>
    <row r="33" spans="1:7" ht="15.75">
      <c r="A33" s="23" t="str">
        <f>CONCATENATE("Violation of Budget Law for ",G1-2,"/",G1-1,":")</f>
        <v>Violation of Budget Law for 2008/2009:</v>
      </c>
      <c r="B33" s="332" t="str">
        <f>IF(C30&gt;B32,"Yes","No")</f>
        <v>No</v>
      </c>
      <c r="C33" s="332" t="str">
        <f>IF(E30&gt;C32,"Yes","No")</f>
        <v>No</v>
      </c>
      <c r="D33" s="21"/>
      <c r="E33" s="471" t="s">
        <v>77</v>
      </c>
      <c r="F33" s="472"/>
      <c r="G33" s="85">
        <f>G30+G32</f>
        <v>0</v>
      </c>
    </row>
    <row r="34" spans="1:7" ht="15.75">
      <c r="A34" s="23" t="str">
        <f>CONCATENATE("Possible Cash Violation for ",G1-2,":")</f>
        <v>Possible Cash Violation for 2008:</v>
      </c>
      <c r="B34" s="332" t="str">
        <f>IF(C31&lt;0,"Yes","No")</f>
        <v>No</v>
      </c>
      <c r="C34" s="332"/>
      <c r="D34" s="21"/>
      <c r="E34" s="471" t="s">
        <v>173</v>
      </c>
      <c r="F34" s="472"/>
      <c r="G34" s="262">
        <f>IF(G33-G21&gt;0,G33-G21,0)</f>
        <v>0</v>
      </c>
    </row>
    <row r="35" spans="1:7" ht="15.75">
      <c r="A35" s="24"/>
      <c r="B35" s="24"/>
      <c r="C35" s="473" t="s">
        <v>78</v>
      </c>
      <c r="D35" s="474"/>
      <c r="E35" s="474"/>
      <c r="F35" s="230">
        <f>(inputOth!$E$46)</f>
        <v>0</v>
      </c>
      <c r="G35" s="85">
        <f>ROUND(IF(F35&gt;0,(G34*F35),0),0)</f>
        <v>0</v>
      </c>
    </row>
    <row r="36" spans="1:7" ht="15.75">
      <c r="A36" s="137"/>
      <c r="B36" s="137"/>
      <c r="C36" s="465" t="str">
        <f>CONCATENATE("Amount of  ",$G$1-1," Ad Valorem Tax")</f>
        <v>Amount of  2009 Ad Valorem Tax</v>
      </c>
      <c r="D36" s="466"/>
      <c r="E36" s="466"/>
      <c r="F36" s="467"/>
      <c r="G36" s="387">
        <f>G34+G35</f>
        <v>0</v>
      </c>
    </row>
    <row r="37" spans="1:7" ht="15.75">
      <c r="A37" s="21"/>
      <c r="B37" s="21"/>
      <c r="C37" s="137"/>
      <c r="D37" s="137"/>
      <c r="E37" s="137"/>
      <c r="F37" s="137"/>
      <c r="G37" s="21"/>
    </row>
    <row r="38" spans="1:7" ht="15.75">
      <c r="A38" s="25" t="s">
        <v>156</v>
      </c>
      <c r="B38" s="25"/>
      <c r="C38" s="96"/>
      <c r="D38" s="96"/>
      <c r="E38" s="96"/>
      <c r="F38" s="96"/>
      <c r="G38" s="96"/>
    </row>
    <row r="39" spans="1:7" ht="15.75">
      <c r="A39" s="21"/>
      <c r="B39" s="21"/>
      <c r="C39" s="485" t="s">
        <v>180</v>
      </c>
      <c r="D39" s="486"/>
      <c r="E39" s="481" t="s">
        <v>317</v>
      </c>
      <c r="F39" s="482"/>
      <c r="G39" s="33" t="s">
        <v>318</v>
      </c>
    </row>
    <row r="40" spans="1:7" ht="15.75">
      <c r="A40" s="138">
        <f>inputPrYr!B24</f>
        <v>0</v>
      </c>
      <c r="B40" s="138"/>
      <c r="C40" s="483">
        <f>G1-2</f>
        <v>2008</v>
      </c>
      <c r="D40" s="484"/>
      <c r="E40" s="483">
        <f>G1-1</f>
        <v>2009</v>
      </c>
      <c r="F40" s="484"/>
      <c r="G40" s="147">
        <f>G1</f>
        <v>2010</v>
      </c>
    </row>
    <row r="41" spans="1:7" ht="15.75">
      <c r="A41" s="306" t="s">
        <v>289</v>
      </c>
      <c r="B41" s="312"/>
      <c r="C41" s="455"/>
      <c r="D41" s="456"/>
      <c r="E41" s="461">
        <f>C66</f>
        <v>0</v>
      </c>
      <c r="F41" s="462"/>
      <c r="G41" s="85">
        <f>E66</f>
        <v>0</v>
      </c>
    </row>
    <row r="42" spans="1:7" ht="15.75">
      <c r="A42" s="311" t="s">
        <v>291</v>
      </c>
      <c r="B42" s="312"/>
      <c r="C42" s="463"/>
      <c r="D42" s="464"/>
      <c r="E42" s="463"/>
      <c r="F42" s="464"/>
      <c r="G42" s="40"/>
    </row>
    <row r="43" spans="1:7" ht="15.75">
      <c r="A43" s="37" t="s">
        <v>157</v>
      </c>
      <c r="B43" s="312"/>
      <c r="C43" s="455"/>
      <c r="D43" s="456"/>
      <c r="E43" s="461">
        <f>inputPrYr!E24</f>
        <v>0</v>
      </c>
      <c r="F43" s="462"/>
      <c r="G43" s="97" t="s">
        <v>144</v>
      </c>
    </row>
    <row r="44" spans="1:7" ht="15.75">
      <c r="A44" s="37" t="s">
        <v>158</v>
      </c>
      <c r="B44" s="312"/>
      <c r="C44" s="455"/>
      <c r="D44" s="456"/>
      <c r="E44" s="455"/>
      <c r="F44" s="456"/>
      <c r="G44" s="9"/>
    </row>
    <row r="45" spans="1:7" ht="15.75">
      <c r="A45" s="37" t="s">
        <v>159</v>
      </c>
      <c r="B45" s="312"/>
      <c r="C45" s="455"/>
      <c r="D45" s="456"/>
      <c r="E45" s="455"/>
      <c r="F45" s="456"/>
      <c r="G45" s="85" t="str">
        <f>mvalloc!C14</f>
        <v>  </v>
      </c>
    </row>
    <row r="46" spans="1:7" ht="15.75">
      <c r="A46" s="37" t="s">
        <v>160</v>
      </c>
      <c r="B46" s="312"/>
      <c r="C46" s="455"/>
      <c r="D46" s="456"/>
      <c r="E46" s="455"/>
      <c r="F46" s="456"/>
      <c r="G46" s="85" t="str">
        <f>mvalloc!D14</f>
        <v> </v>
      </c>
    </row>
    <row r="47" spans="1:7" ht="15.75">
      <c r="A47" s="316" t="s">
        <v>266</v>
      </c>
      <c r="B47" s="312"/>
      <c r="C47" s="455"/>
      <c r="D47" s="456"/>
      <c r="E47" s="455"/>
      <c r="F47" s="456"/>
      <c r="G47" s="85" t="str">
        <f>mvalloc!E14</f>
        <v> </v>
      </c>
    </row>
    <row r="48" spans="1:7" ht="15.75">
      <c r="A48" s="317" t="s">
        <v>337</v>
      </c>
      <c r="B48" s="312"/>
      <c r="C48" s="455"/>
      <c r="D48" s="456"/>
      <c r="E48" s="455"/>
      <c r="F48" s="456"/>
      <c r="G48" s="85" t="str">
        <f>mvalloc!F14</f>
        <v> </v>
      </c>
    </row>
    <row r="49" spans="1:7" ht="15.75">
      <c r="A49" s="296"/>
      <c r="B49" s="313"/>
      <c r="C49" s="455"/>
      <c r="D49" s="456"/>
      <c r="E49" s="455"/>
      <c r="F49" s="456"/>
      <c r="G49" s="9"/>
    </row>
    <row r="50" spans="1:7" ht="15.75">
      <c r="A50" s="296"/>
      <c r="B50" s="313"/>
      <c r="C50" s="455"/>
      <c r="D50" s="456"/>
      <c r="E50" s="455"/>
      <c r="F50" s="456"/>
      <c r="G50" s="9"/>
    </row>
    <row r="51" spans="1:7" ht="15.75">
      <c r="A51" s="307" t="s">
        <v>164</v>
      </c>
      <c r="B51" s="313"/>
      <c r="C51" s="455"/>
      <c r="D51" s="456"/>
      <c r="E51" s="455"/>
      <c r="F51" s="456"/>
      <c r="G51" s="9"/>
    </row>
    <row r="52" spans="1:7" ht="15.75">
      <c r="A52" s="316" t="s">
        <v>26</v>
      </c>
      <c r="B52" s="312"/>
      <c r="C52" s="455"/>
      <c r="D52" s="456"/>
      <c r="E52" s="455"/>
      <c r="F52" s="456"/>
      <c r="G52" s="308"/>
    </row>
    <row r="53" spans="1:7" ht="15.75">
      <c r="A53" s="306" t="s">
        <v>28</v>
      </c>
      <c r="B53" s="312"/>
      <c r="C53" s="475">
        <f>IF(C54*0.1&lt;C52,"Exceed 10% Rule","")</f>
      </c>
      <c r="D53" s="476"/>
      <c r="E53" s="475">
        <f>IF(E54*0.1&lt;E52,"Exceed 10% Rule","")</f>
      </c>
      <c r="F53" s="476"/>
      <c r="G53" s="348">
        <f>IF(G54*0.1+G71&lt;G52,"Exceed 10% Rule","")</f>
      </c>
    </row>
    <row r="54" spans="1:7" ht="15.75">
      <c r="A54" s="153" t="s">
        <v>165</v>
      </c>
      <c r="B54" s="312"/>
      <c r="C54" s="479">
        <f>SUM(C43:C52)</f>
        <v>0</v>
      </c>
      <c r="D54" s="480"/>
      <c r="E54" s="479">
        <f>SUM(E43:E52)</f>
        <v>0</v>
      </c>
      <c r="F54" s="480"/>
      <c r="G54" s="263">
        <f>SUM(G43:G52)</f>
        <v>0</v>
      </c>
    </row>
    <row r="55" spans="1:7" ht="15.75">
      <c r="A55" s="153" t="s">
        <v>166</v>
      </c>
      <c r="B55" s="312"/>
      <c r="C55" s="479">
        <f>C41+C54</f>
        <v>0</v>
      </c>
      <c r="D55" s="480"/>
      <c r="E55" s="479">
        <f>E41+E54</f>
        <v>0</v>
      </c>
      <c r="F55" s="480"/>
      <c r="G55" s="263">
        <f>G41+G54</f>
        <v>0</v>
      </c>
    </row>
    <row r="56" spans="1:7" ht="15.75">
      <c r="A56" s="37" t="s">
        <v>168</v>
      </c>
      <c r="B56" s="312"/>
      <c r="C56" s="499"/>
      <c r="D56" s="500"/>
      <c r="E56" s="499"/>
      <c r="F56" s="500"/>
      <c r="G56" s="42"/>
    </row>
    <row r="57" spans="1:7" ht="15.75">
      <c r="A57" s="296"/>
      <c r="B57" s="313"/>
      <c r="C57" s="455"/>
      <c r="D57" s="456"/>
      <c r="E57" s="455"/>
      <c r="F57" s="456"/>
      <c r="G57" s="9"/>
    </row>
    <row r="58" spans="1:7" ht="15.75">
      <c r="A58" s="296"/>
      <c r="B58" s="313"/>
      <c r="C58" s="455"/>
      <c r="D58" s="456"/>
      <c r="E58" s="455"/>
      <c r="F58" s="456"/>
      <c r="G58" s="9"/>
    </row>
    <row r="59" spans="1:7" ht="15.75">
      <c r="A59" s="296"/>
      <c r="B59" s="313"/>
      <c r="C59" s="455"/>
      <c r="D59" s="456"/>
      <c r="E59" s="455"/>
      <c r="F59" s="456"/>
      <c r="G59" s="9"/>
    </row>
    <row r="60" spans="1:7" ht="15.75">
      <c r="A60" s="296"/>
      <c r="B60" s="313"/>
      <c r="C60" s="455"/>
      <c r="D60" s="456"/>
      <c r="E60" s="455"/>
      <c r="F60" s="456"/>
      <c r="G60" s="9"/>
    </row>
    <row r="61" spans="1:7" ht="15.75">
      <c r="A61" s="296"/>
      <c r="B61" s="313"/>
      <c r="C61" s="455"/>
      <c r="D61" s="456"/>
      <c r="E61" s="455"/>
      <c r="F61" s="456"/>
      <c r="G61" s="350"/>
    </row>
    <row r="62" spans="1:7" ht="15.75">
      <c r="A62" s="314" t="s">
        <v>25</v>
      </c>
      <c r="B62" s="312"/>
      <c r="C62" s="455"/>
      <c r="D62" s="456"/>
      <c r="E62" s="455"/>
      <c r="F62" s="456"/>
      <c r="G62" s="262">
        <f>nhood!E13</f>
      </c>
    </row>
    <row r="63" spans="1:7" ht="15.75">
      <c r="A63" s="314" t="s">
        <v>26</v>
      </c>
      <c r="B63" s="312"/>
      <c r="C63" s="455"/>
      <c r="D63" s="456"/>
      <c r="E63" s="455"/>
      <c r="F63" s="456"/>
      <c r="G63" s="308"/>
    </row>
    <row r="64" spans="1:7" ht="15.75">
      <c r="A64" s="314" t="s">
        <v>27</v>
      </c>
      <c r="B64" s="312"/>
      <c r="C64" s="475">
        <f>IF(C65*0.1&lt;C63,"Exceed 10% Rule","")</f>
      </c>
      <c r="D64" s="476"/>
      <c r="E64" s="475">
        <f>IF(E65*0.1&lt;E63,"Exceed 10% Rule","")</f>
      </c>
      <c r="F64" s="476"/>
      <c r="G64" s="348">
        <f>IF(G65*0.1&lt;G63,"Exceed 10% Rule","")</f>
      </c>
    </row>
    <row r="65" spans="1:7" ht="15.75">
      <c r="A65" s="153" t="s">
        <v>172</v>
      </c>
      <c r="B65" s="312"/>
      <c r="C65" s="479">
        <f>SUM(C57:C63)</f>
        <v>0</v>
      </c>
      <c r="D65" s="480"/>
      <c r="E65" s="479">
        <f>SUM(E57:E63)</f>
        <v>0</v>
      </c>
      <c r="F65" s="480"/>
      <c r="G65" s="263">
        <f>SUM(G57:G63)</f>
        <v>0</v>
      </c>
    </row>
    <row r="66" spans="1:7" ht="15.75">
      <c r="A66" s="37" t="s">
        <v>290</v>
      </c>
      <c r="B66" s="312"/>
      <c r="C66" s="457">
        <f>C55-C65</f>
        <v>0</v>
      </c>
      <c r="D66" s="458"/>
      <c r="E66" s="457">
        <f>E55-E65</f>
        <v>0</v>
      </c>
      <c r="F66" s="458"/>
      <c r="G66" s="97" t="s">
        <v>144</v>
      </c>
    </row>
    <row r="67" spans="1:8" ht="15.75">
      <c r="A67" s="23" t="str">
        <f>CONCATENATE("",G1-2,"/",G1-1," Budget Authority Amount:")</f>
        <v>2008/2009 Budget Authority Amount:</v>
      </c>
      <c r="B67" s="331">
        <f>inputOth!B66</f>
        <v>0</v>
      </c>
      <c r="C67" s="331">
        <f>inputPrYr!D24</f>
        <v>0</v>
      </c>
      <c r="D67" s="468" t="s">
        <v>76</v>
      </c>
      <c r="E67" s="469"/>
      <c r="F67" s="470"/>
      <c r="G67" s="9"/>
      <c r="H67" s="291">
        <f>IF(G65/0.95-G65&lt;G67,"Exceeds 5%","")</f>
      </c>
    </row>
    <row r="68" spans="1:7" ht="15.75">
      <c r="A68" s="23" t="str">
        <f>CONCATENATE("Violation of Budget Law for ",G1-2,"/",G1-1,":")</f>
        <v>Violation of Budget Law for 2008/2009:</v>
      </c>
      <c r="B68" s="332" t="str">
        <f>IF(C65&gt;B67,"Yes","No")</f>
        <v>No</v>
      </c>
      <c r="C68" s="332" t="str">
        <f>IF(E65&gt;C67,"Yes","No")</f>
        <v>No</v>
      </c>
      <c r="D68" s="21"/>
      <c r="E68" s="471" t="s">
        <v>77</v>
      </c>
      <c r="F68" s="472"/>
      <c r="G68" s="85">
        <f>G65+G67</f>
        <v>0</v>
      </c>
    </row>
    <row r="69" spans="1:7" ht="15.75">
      <c r="A69" s="23" t="str">
        <f>CONCATENATE("Possible Cash Violation for ",G1-2,":")</f>
        <v>Possible Cash Violation for 2008:</v>
      </c>
      <c r="B69" s="332" t="str">
        <f>IF(C66&lt;0,"Yes","No")</f>
        <v>No</v>
      </c>
      <c r="C69" s="332"/>
      <c r="D69" s="21"/>
      <c r="E69" s="471" t="s">
        <v>173</v>
      </c>
      <c r="F69" s="472"/>
      <c r="G69" s="262">
        <f>IF(G68-G55&gt;0,G68-G55,0)</f>
        <v>0</v>
      </c>
    </row>
    <row r="70" spans="1:7" ht="15.75">
      <c r="A70" s="24"/>
      <c r="B70" s="24"/>
      <c r="C70" s="473" t="s">
        <v>78</v>
      </c>
      <c r="D70" s="474"/>
      <c r="E70" s="474"/>
      <c r="F70" s="230">
        <f>(inputOth!$E$46)</f>
        <v>0</v>
      </c>
      <c r="G70" s="85">
        <f>ROUND(IF(F70&gt;0,(G69*F70),0),0)</f>
        <v>0</v>
      </c>
    </row>
    <row r="71" spans="1:7" ht="15.75">
      <c r="A71" s="21"/>
      <c r="B71" s="21"/>
      <c r="C71" s="465" t="str">
        <f>CONCATENATE("Amount of  ",$G$1-1," Ad Valorem Tax")</f>
        <v>Amount of  2009 Ad Valorem Tax</v>
      </c>
      <c r="D71" s="466"/>
      <c r="E71" s="466"/>
      <c r="F71" s="467"/>
      <c r="G71" s="387">
        <f>G69+G70</f>
        <v>0</v>
      </c>
    </row>
    <row r="72" spans="1:7" ht="15.75">
      <c r="A72" s="21"/>
      <c r="B72" s="21"/>
      <c r="C72" s="21"/>
      <c r="D72" s="21"/>
      <c r="E72" s="21"/>
      <c r="F72" s="21"/>
      <c r="G72" s="21"/>
    </row>
    <row r="73" spans="1:7" ht="15.75">
      <c r="A73" s="24"/>
      <c r="B73" s="24" t="s">
        <v>175</v>
      </c>
      <c r="C73" s="100"/>
      <c r="D73" s="137"/>
      <c r="E73" s="21"/>
      <c r="F73" s="21"/>
      <c r="G73" s="21"/>
    </row>
  </sheetData>
  <sheetProtection sheet="1" objects="1" scenarios="1"/>
  <mergeCells count="120">
    <mergeCell ref="E53:F53"/>
    <mergeCell ref="C44:D44"/>
    <mergeCell ref="C66:D66"/>
    <mergeCell ref="C65:D65"/>
    <mergeCell ref="C64:D64"/>
    <mergeCell ref="E66:F66"/>
    <mergeCell ref="E65:F65"/>
    <mergeCell ref="E64:F64"/>
    <mergeCell ref="C55:D55"/>
    <mergeCell ref="E55:F55"/>
    <mergeCell ref="E54:F54"/>
    <mergeCell ref="C40:D40"/>
    <mergeCell ref="C41:D41"/>
    <mergeCell ref="E43:F43"/>
    <mergeCell ref="E42:F42"/>
    <mergeCell ref="E41:F41"/>
    <mergeCell ref="E40:F40"/>
    <mergeCell ref="C42:D42"/>
    <mergeCell ref="C43:D43"/>
    <mergeCell ref="E44:F44"/>
    <mergeCell ref="E39:F39"/>
    <mergeCell ref="C39:D39"/>
    <mergeCell ref="E17:F17"/>
    <mergeCell ref="E18:F18"/>
    <mergeCell ref="C26:D26"/>
    <mergeCell ref="C28:D28"/>
    <mergeCell ref="E28:F28"/>
    <mergeCell ref="C29:D29"/>
    <mergeCell ref="C18:D18"/>
    <mergeCell ref="C24:D24"/>
    <mergeCell ref="C9:D9"/>
    <mergeCell ref="C10:D10"/>
    <mergeCell ref="C11:D11"/>
    <mergeCell ref="C12:D12"/>
    <mergeCell ref="C16:D16"/>
    <mergeCell ref="C17:D17"/>
    <mergeCell ref="C23:D23"/>
    <mergeCell ref="C25:D25"/>
    <mergeCell ref="E13:F13"/>
    <mergeCell ref="C13:D13"/>
    <mergeCell ref="C14:D14"/>
    <mergeCell ref="C15:D15"/>
    <mergeCell ref="C20:D20"/>
    <mergeCell ref="E15:F15"/>
    <mergeCell ref="E16:F16"/>
    <mergeCell ref="E45:F45"/>
    <mergeCell ref="E46:F46"/>
    <mergeCell ref="E47:F47"/>
    <mergeCell ref="C49:D49"/>
    <mergeCell ref="C50:D50"/>
    <mergeCell ref="C45:D45"/>
    <mergeCell ref="C46:D46"/>
    <mergeCell ref="C47:D47"/>
    <mergeCell ref="C48:D48"/>
    <mergeCell ref="C54:D54"/>
    <mergeCell ref="C53:D53"/>
    <mergeCell ref="E56:F56"/>
    <mergeCell ref="E48:F48"/>
    <mergeCell ref="E49:F49"/>
    <mergeCell ref="E50:F50"/>
    <mergeCell ref="E51:F51"/>
    <mergeCell ref="C51:D51"/>
    <mergeCell ref="C52:D52"/>
    <mergeCell ref="C56:D56"/>
    <mergeCell ref="C57:D57"/>
    <mergeCell ref="C58:D58"/>
    <mergeCell ref="C59:D59"/>
    <mergeCell ref="E57:F57"/>
    <mergeCell ref="E58:F58"/>
    <mergeCell ref="E59:F59"/>
    <mergeCell ref="C31:D31"/>
    <mergeCell ref="E29:F29"/>
    <mergeCell ref="E30:F30"/>
    <mergeCell ref="E31:F31"/>
    <mergeCell ref="E63:F63"/>
    <mergeCell ref="C60:D60"/>
    <mergeCell ref="C61:D61"/>
    <mergeCell ref="C62:D62"/>
    <mergeCell ref="C63:D63"/>
    <mergeCell ref="E52:F52"/>
    <mergeCell ref="E10:F10"/>
    <mergeCell ref="E11:F11"/>
    <mergeCell ref="E12:F12"/>
    <mergeCell ref="C30:D30"/>
    <mergeCell ref="C27:D27"/>
    <mergeCell ref="E23:F23"/>
    <mergeCell ref="E24:F24"/>
    <mergeCell ref="E25:F25"/>
    <mergeCell ref="E26:F26"/>
    <mergeCell ref="E27:F27"/>
    <mergeCell ref="C5:D5"/>
    <mergeCell ref="C6:D6"/>
    <mergeCell ref="C7:D7"/>
    <mergeCell ref="E7:F7"/>
    <mergeCell ref="E6:F6"/>
    <mergeCell ref="E21:F21"/>
    <mergeCell ref="E20:F20"/>
    <mergeCell ref="E19:F19"/>
    <mergeCell ref="E5:F5"/>
    <mergeCell ref="E14:F14"/>
    <mergeCell ref="C8:D8"/>
    <mergeCell ref="D32:F32"/>
    <mergeCell ref="E33:F33"/>
    <mergeCell ref="E34:F34"/>
    <mergeCell ref="E9:F9"/>
    <mergeCell ref="E8:F8"/>
    <mergeCell ref="C22:D22"/>
    <mergeCell ref="E22:F22"/>
    <mergeCell ref="C21:D21"/>
    <mergeCell ref="C19:D19"/>
    <mergeCell ref="C71:F71"/>
    <mergeCell ref="C35:E35"/>
    <mergeCell ref="C36:F36"/>
    <mergeCell ref="D67:F67"/>
    <mergeCell ref="E68:F68"/>
    <mergeCell ref="E69:F69"/>
    <mergeCell ref="C70:E70"/>
    <mergeCell ref="E60:F60"/>
    <mergeCell ref="E61:F61"/>
    <mergeCell ref="E62:F62"/>
  </mergeCells>
  <conditionalFormatting sqref="G28">
    <cfRule type="cellIs" priority="1" dxfId="245" operator="greaterThan" stopIfTrue="1">
      <formula>$G$30*0.1</formula>
    </cfRule>
  </conditionalFormatting>
  <conditionalFormatting sqref="G32">
    <cfRule type="cellIs" priority="2" dxfId="245" operator="greaterThan" stopIfTrue="1">
      <formula>$G$30/0.95-$G$30</formula>
    </cfRule>
  </conditionalFormatting>
  <conditionalFormatting sqref="G63">
    <cfRule type="cellIs" priority="3" dxfId="245" operator="greaterThan" stopIfTrue="1">
      <formula>$G$65*0.1</formula>
    </cfRule>
  </conditionalFormatting>
  <conditionalFormatting sqref="G67">
    <cfRule type="cellIs" priority="4" dxfId="245" operator="greaterThan" stopIfTrue="1">
      <formula>$G$65/0.95-$G$65</formula>
    </cfRule>
  </conditionalFormatting>
  <conditionalFormatting sqref="C28:D28">
    <cfRule type="cellIs" priority="5" dxfId="0" operator="greaterThan" stopIfTrue="1">
      <formula>$C$30*0.1</formula>
    </cfRule>
  </conditionalFormatting>
  <conditionalFormatting sqref="E28:F28">
    <cfRule type="cellIs" priority="6" dxfId="0" operator="greaterThan" stopIfTrue="1">
      <formula>$E$30*0.1</formula>
    </cfRule>
  </conditionalFormatting>
  <conditionalFormatting sqref="E30:F30">
    <cfRule type="cellIs" priority="7" dxfId="0" operator="greaterThan" stopIfTrue="1">
      <formula>$C$32</formula>
    </cfRule>
  </conditionalFormatting>
  <conditionalFormatting sqref="C30:D30">
    <cfRule type="cellIs" priority="8" dxfId="0" operator="greaterThan" stopIfTrue="1">
      <formula>$B$32</formula>
    </cfRule>
  </conditionalFormatting>
  <conditionalFormatting sqref="C31:D31 C66:D66">
    <cfRule type="cellIs" priority="9" dxfId="0" operator="lessThan" stopIfTrue="1">
      <formula>0</formula>
    </cfRule>
  </conditionalFormatting>
  <conditionalFormatting sqref="C63:D63">
    <cfRule type="cellIs" priority="10" dxfId="0" operator="greaterThan" stopIfTrue="1">
      <formula>$C$65*0.1</formula>
    </cfRule>
  </conditionalFormatting>
  <conditionalFormatting sqref="E63:F63">
    <cfRule type="cellIs" priority="11" dxfId="0" operator="greaterThan" stopIfTrue="1">
      <formula>$E$65*0.1</formula>
    </cfRule>
  </conditionalFormatting>
  <conditionalFormatting sqref="E65:F65">
    <cfRule type="cellIs" priority="12" dxfId="0" operator="greaterThan" stopIfTrue="1">
      <formula>$C$67</formula>
    </cfRule>
  </conditionalFormatting>
  <conditionalFormatting sqref="C65:D65">
    <cfRule type="cellIs" priority="13" dxfId="0" operator="greaterThan" stopIfTrue="1">
      <formula>$B$67</formula>
    </cfRule>
  </conditionalFormatting>
  <conditionalFormatting sqref="E18:F18">
    <cfRule type="cellIs" priority="14" dxfId="0" operator="greaterThan" stopIfTrue="1">
      <formula>$E$20*0.1</formula>
    </cfRule>
  </conditionalFormatting>
  <conditionalFormatting sqref="C18:D18">
    <cfRule type="cellIs" priority="15" dxfId="0" operator="greaterThan" stopIfTrue="1">
      <formula>$C$20*0.1</formula>
    </cfRule>
  </conditionalFormatting>
  <conditionalFormatting sqref="E52:F52">
    <cfRule type="cellIs" priority="16" dxfId="0" operator="greaterThan" stopIfTrue="1">
      <formula>$E$54*0.1</formula>
    </cfRule>
  </conditionalFormatting>
  <conditionalFormatting sqref="C52:D52">
    <cfRule type="cellIs" priority="17" dxfId="0" operator="greaterThan" stopIfTrue="1">
      <formula>$C$54*0.1</formula>
    </cfRule>
  </conditionalFormatting>
  <conditionalFormatting sqref="G18">
    <cfRule type="cellIs" priority="18" dxfId="245" operator="greaterThan" stopIfTrue="1">
      <formula>$G$20*0.1+G36</formula>
    </cfRule>
  </conditionalFormatting>
  <conditionalFormatting sqref="G52">
    <cfRule type="cellIs" priority="19" dxfId="245" operator="greaterThan" stopIfTrue="1">
      <formula>$G$54*0.1=G71</formula>
    </cfRule>
  </conditionalFormatting>
  <printOptions/>
  <pageMargins left="0.5" right="0.5" top="1" bottom="0.5" header="0.5" footer="0.5"/>
  <pageSetup blackAndWhite="1" fitToHeight="1" fitToWidth="1" horizontalDpi="120" verticalDpi="120" orientation="portrait" r:id="rId1"/>
  <headerFooter alignWithMargins="0">
    <oddHeader>&amp;RState of Kansas
City</oddHeader>
    <oddFooter>&amp;Lrevised 8/21/08</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H74"/>
  <sheetViews>
    <sheetView zoomScale="54" zoomScaleNormal="54" zoomScalePageLayoutView="0" workbookViewId="0" topLeftCell="A1">
      <selection activeCell="C2" sqref="C2"/>
    </sheetView>
  </sheetViews>
  <sheetFormatPr defaultColWidth="8.796875" defaultRowHeight="15"/>
  <cols>
    <col min="1" max="1" width="28.796875" style="7" customWidth="1"/>
    <col min="2" max="2" width="9.59765625" style="7" customWidth="1"/>
    <col min="3" max="3" width="10.3984375" style="7" customWidth="1"/>
    <col min="4" max="4" width="5.796875" style="7" customWidth="1"/>
    <col min="5" max="5" width="9.69921875" style="7" customWidth="1"/>
    <col min="6" max="6" width="6.69921875" style="7" customWidth="1"/>
    <col min="7" max="7" width="16.19921875" style="7" customWidth="1"/>
    <col min="8" max="16384" width="8.8984375" style="7" customWidth="1"/>
  </cols>
  <sheetData>
    <row r="1" spans="1:7" ht="15.75">
      <c r="A1" s="72" t="str">
        <f>(inputPrYr!D2)</f>
        <v>CITY OF PARK CITY</v>
      </c>
      <c r="B1" s="72"/>
      <c r="C1" s="21"/>
      <c r="D1" s="21"/>
      <c r="E1" s="21"/>
      <c r="F1" s="21"/>
      <c r="G1" s="139">
        <f>inputPrYr!C5</f>
        <v>2010</v>
      </c>
    </row>
    <row r="2" spans="1:7" ht="15.75">
      <c r="A2" s="21"/>
      <c r="B2" s="21"/>
      <c r="C2" s="21"/>
      <c r="D2" s="21"/>
      <c r="E2" s="21"/>
      <c r="F2" s="21"/>
      <c r="G2" s="24"/>
    </row>
    <row r="3" spans="1:7" ht="15.75">
      <c r="A3" s="90" t="s">
        <v>233</v>
      </c>
      <c r="B3" s="90"/>
      <c r="C3" s="94"/>
      <c r="D3" s="94"/>
      <c r="E3" s="94"/>
      <c r="F3" s="94"/>
      <c r="G3" s="95"/>
    </row>
    <row r="4" spans="1:7" ht="15.75">
      <c r="A4" s="21"/>
      <c r="B4" s="21"/>
      <c r="C4" s="96"/>
      <c r="D4" s="96"/>
      <c r="E4" s="96"/>
      <c r="F4" s="96"/>
      <c r="G4" s="96"/>
    </row>
    <row r="5" spans="1:7" ht="15.75">
      <c r="A5" s="25" t="s">
        <v>156</v>
      </c>
      <c r="B5" s="25"/>
      <c r="C5" s="485" t="s">
        <v>180</v>
      </c>
      <c r="D5" s="486"/>
      <c r="E5" s="481" t="s">
        <v>317</v>
      </c>
      <c r="F5" s="482"/>
      <c r="G5" s="33" t="s">
        <v>318</v>
      </c>
    </row>
    <row r="6" spans="1:7" ht="15.75">
      <c r="A6" s="138">
        <f>inputPrYr!B27</f>
        <v>0</v>
      </c>
      <c r="B6" s="138"/>
      <c r="C6" s="483">
        <f>G1-2</f>
        <v>2008</v>
      </c>
      <c r="D6" s="484"/>
      <c r="E6" s="483">
        <f>G1-1</f>
        <v>2009</v>
      </c>
      <c r="F6" s="484"/>
      <c r="G6" s="147">
        <f>G1</f>
        <v>2010</v>
      </c>
    </row>
    <row r="7" spans="1:7" ht="15.75">
      <c r="A7" s="306" t="s">
        <v>289</v>
      </c>
      <c r="B7" s="312"/>
      <c r="C7" s="455"/>
      <c r="D7" s="456"/>
      <c r="E7" s="461">
        <f>C32</f>
        <v>0</v>
      </c>
      <c r="F7" s="462"/>
      <c r="G7" s="85">
        <f>E32</f>
        <v>0</v>
      </c>
    </row>
    <row r="8" spans="1:7" ht="15.75">
      <c r="A8" s="311" t="s">
        <v>291</v>
      </c>
      <c r="B8" s="312"/>
      <c r="C8" s="463"/>
      <c r="D8" s="464"/>
      <c r="E8" s="463"/>
      <c r="F8" s="464"/>
      <c r="G8" s="40"/>
    </row>
    <row r="9" spans="1:7" ht="15.75">
      <c r="A9" s="37" t="s">
        <v>157</v>
      </c>
      <c r="B9" s="312"/>
      <c r="C9" s="455"/>
      <c r="D9" s="456"/>
      <c r="E9" s="461">
        <f>inputPrYr!E27</f>
        <v>0</v>
      </c>
      <c r="F9" s="462"/>
      <c r="G9" s="97" t="s">
        <v>144</v>
      </c>
    </row>
    <row r="10" spans="1:7" ht="15.75">
      <c r="A10" s="37" t="s">
        <v>158</v>
      </c>
      <c r="B10" s="312"/>
      <c r="C10" s="455"/>
      <c r="D10" s="456"/>
      <c r="E10" s="455"/>
      <c r="F10" s="456"/>
      <c r="G10" s="9"/>
    </row>
    <row r="11" spans="1:7" ht="15.75">
      <c r="A11" s="37" t="s">
        <v>159</v>
      </c>
      <c r="B11" s="312"/>
      <c r="C11" s="455"/>
      <c r="D11" s="456"/>
      <c r="E11" s="455"/>
      <c r="F11" s="456"/>
      <c r="G11" s="85" t="str">
        <f>mvalloc!C17</f>
        <v>  </v>
      </c>
    </row>
    <row r="12" spans="1:7" ht="15.75">
      <c r="A12" s="37" t="s">
        <v>160</v>
      </c>
      <c r="B12" s="312"/>
      <c r="C12" s="455"/>
      <c r="D12" s="456"/>
      <c r="E12" s="455"/>
      <c r="F12" s="456"/>
      <c r="G12" s="85" t="str">
        <f>mvalloc!D17</f>
        <v> </v>
      </c>
    </row>
    <row r="13" spans="1:7" ht="15.75">
      <c r="A13" s="316" t="s">
        <v>266</v>
      </c>
      <c r="B13" s="312"/>
      <c r="C13" s="455"/>
      <c r="D13" s="456"/>
      <c r="E13" s="455"/>
      <c r="F13" s="456"/>
      <c r="G13" s="85" t="str">
        <f>mvalloc!E17</f>
        <v> </v>
      </c>
    </row>
    <row r="14" spans="1:7" ht="15.75">
      <c r="A14" s="317" t="s">
        <v>337</v>
      </c>
      <c r="B14" s="312"/>
      <c r="C14" s="455"/>
      <c r="D14" s="456"/>
      <c r="E14" s="455"/>
      <c r="F14" s="456"/>
      <c r="G14" s="85" t="str">
        <f>mvalloc!F17</f>
        <v> </v>
      </c>
    </row>
    <row r="15" spans="1:7" ht="15.75">
      <c r="A15" s="296"/>
      <c r="B15" s="313"/>
      <c r="C15" s="455"/>
      <c r="D15" s="456"/>
      <c r="E15" s="455"/>
      <c r="F15" s="456"/>
      <c r="G15" s="9"/>
    </row>
    <row r="16" spans="1:7" ht="15.75">
      <c r="A16" s="296"/>
      <c r="B16" s="313"/>
      <c r="C16" s="455"/>
      <c r="D16" s="456"/>
      <c r="E16" s="455"/>
      <c r="F16" s="456"/>
      <c r="G16" s="9"/>
    </row>
    <row r="17" spans="1:7" ht="15.75">
      <c r="A17" s="307" t="s">
        <v>164</v>
      </c>
      <c r="B17" s="313"/>
      <c r="C17" s="455"/>
      <c r="D17" s="456"/>
      <c r="E17" s="455"/>
      <c r="F17" s="456"/>
      <c r="G17" s="9"/>
    </row>
    <row r="18" spans="1:7" ht="15.75">
      <c r="A18" s="316" t="s">
        <v>26</v>
      </c>
      <c r="B18" s="312"/>
      <c r="C18" s="455"/>
      <c r="D18" s="456"/>
      <c r="E18" s="455"/>
      <c r="F18" s="456"/>
      <c r="G18" s="308"/>
    </row>
    <row r="19" spans="1:7" ht="15.75">
      <c r="A19" s="306" t="s">
        <v>28</v>
      </c>
      <c r="B19" s="312"/>
      <c r="C19" s="475">
        <f>IF(C20*0.1&lt;C18,"Exceed 10% Rule","")</f>
      </c>
      <c r="D19" s="476"/>
      <c r="E19" s="475">
        <f>IF(E20*0.1&lt;E18,"Exceed 10% Rule","")</f>
      </c>
      <c r="F19" s="476"/>
      <c r="G19" s="348">
        <f>IF(G20*0.1+G37&lt;G18,"Exceed 10% Rule","")</f>
      </c>
    </row>
    <row r="20" spans="1:7" ht="15.75">
      <c r="A20" s="153" t="s">
        <v>165</v>
      </c>
      <c r="B20" s="312"/>
      <c r="C20" s="479">
        <f>SUM(C9:C18)</f>
        <v>0</v>
      </c>
      <c r="D20" s="480"/>
      <c r="E20" s="479">
        <f>SUM(E9:E18)</f>
        <v>0</v>
      </c>
      <c r="F20" s="480"/>
      <c r="G20" s="263">
        <f>SUM(G9:G18)</f>
        <v>0</v>
      </c>
    </row>
    <row r="21" spans="1:7" ht="15.75">
      <c r="A21" s="153" t="s">
        <v>166</v>
      </c>
      <c r="B21" s="312"/>
      <c r="C21" s="479">
        <f>C7+C20</f>
        <v>0</v>
      </c>
      <c r="D21" s="480"/>
      <c r="E21" s="479">
        <f>E7+E20</f>
        <v>0</v>
      </c>
      <c r="F21" s="480"/>
      <c r="G21" s="263">
        <f>G7+G20</f>
        <v>0</v>
      </c>
    </row>
    <row r="22" spans="1:7" ht="15.75">
      <c r="A22" s="37" t="s">
        <v>168</v>
      </c>
      <c r="B22" s="312"/>
      <c r="C22" s="499"/>
      <c r="D22" s="500"/>
      <c r="E22" s="499"/>
      <c r="F22" s="500"/>
      <c r="G22" s="42"/>
    </row>
    <row r="23" spans="1:7" ht="15.75">
      <c r="A23" s="296"/>
      <c r="B23" s="313"/>
      <c r="C23" s="455"/>
      <c r="D23" s="456"/>
      <c r="E23" s="455"/>
      <c r="F23" s="456"/>
      <c r="G23" s="9"/>
    </row>
    <row r="24" spans="1:7" ht="15.75">
      <c r="A24" s="296"/>
      <c r="B24" s="313"/>
      <c r="C24" s="455"/>
      <c r="D24" s="456"/>
      <c r="E24" s="455"/>
      <c r="F24" s="456"/>
      <c r="G24" s="9"/>
    </row>
    <row r="25" spans="1:7" ht="15.75">
      <c r="A25" s="296"/>
      <c r="B25" s="313"/>
      <c r="C25" s="455"/>
      <c r="D25" s="456"/>
      <c r="E25" s="455"/>
      <c r="F25" s="456"/>
      <c r="G25" s="9"/>
    </row>
    <row r="26" spans="1:7" ht="15.75">
      <c r="A26" s="296"/>
      <c r="B26" s="313"/>
      <c r="C26" s="455"/>
      <c r="D26" s="456"/>
      <c r="E26" s="455"/>
      <c r="F26" s="456"/>
      <c r="G26" s="9"/>
    </row>
    <row r="27" spans="1:7" ht="15.75">
      <c r="A27" s="296"/>
      <c r="B27" s="313"/>
      <c r="C27" s="455"/>
      <c r="D27" s="456"/>
      <c r="E27" s="455"/>
      <c r="F27" s="456"/>
      <c r="G27" s="9"/>
    </row>
    <row r="28" spans="1:7" ht="15.75">
      <c r="A28" s="314" t="s">
        <v>25</v>
      </c>
      <c r="B28" s="312"/>
      <c r="C28" s="455"/>
      <c r="D28" s="456"/>
      <c r="E28" s="455"/>
      <c r="F28" s="456"/>
      <c r="G28" s="262">
        <f>nhood!E16</f>
      </c>
    </row>
    <row r="29" spans="1:7" ht="15.75">
      <c r="A29" s="314" t="s">
        <v>26</v>
      </c>
      <c r="B29" s="312"/>
      <c r="C29" s="455"/>
      <c r="D29" s="456"/>
      <c r="E29" s="455"/>
      <c r="F29" s="456"/>
      <c r="G29" s="308"/>
    </row>
    <row r="30" spans="1:7" ht="15.75">
      <c r="A30" s="314" t="s">
        <v>27</v>
      </c>
      <c r="B30" s="312"/>
      <c r="C30" s="475">
        <f>IF(C31*0.1&lt;C29,"Exceed 10% Rule","")</f>
      </c>
      <c r="D30" s="476"/>
      <c r="E30" s="475">
        <f>IF(E31*0.1&lt;E29,"Exceed 10% Rule","")</f>
      </c>
      <c r="F30" s="476"/>
      <c r="G30" s="348">
        <f>IF(G31*0.1&lt;G29,"Exceed 10% Rule","")</f>
      </c>
    </row>
    <row r="31" spans="1:7" ht="15.75">
      <c r="A31" s="153" t="s">
        <v>172</v>
      </c>
      <c r="B31" s="312"/>
      <c r="C31" s="479">
        <f>SUM(C23:C29)</f>
        <v>0</v>
      </c>
      <c r="D31" s="480"/>
      <c r="E31" s="479">
        <f>SUM(E23:E29)</f>
        <v>0</v>
      </c>
      <c r="F31" s="480"/>
      <c r="G31" s="263">
        <f>SUM(G23:G29)</f>
        <v>0</v>
      </c>
    </row>
    <row r="32" spans="1:7" ht="15.75">
      <c r="A32" s="37" t="s">
        <v>290</v>
      </c>
      <c r="B32" s="312"/>
      <c r="C32" s="457">
        <f>C21-C31</f>
        <v>0</v>
      </c>
      <c r="D32" s="458"/>
      <c r="E32" s="457">
        <f>E21-E31</f>
        <v>0</v>
      </c>
      <c r="F32" s="458"/>
      <c r="G32" s="97" t="s">
        <v>144</v>
      </c>
    </row>
    <row r="33" spans="1:8" ht="15.75">
      <c r="A33" s="23" t="str">
        <f>CONCATENATE("",G1-2,"/",G1-1," Budget Authority Amount:")</f>
        <v>2008/2009 Budget Authority Amount:</v>
      </c>
      <c r="B33" s="331">
        <f>inputOth!B69</f>
        <v>0</v>
      </c>
      <c r="C33" s="331">
        <f>inputPrYr!D27</f>
        <v>0</v>
      </c>
      <c r="D33" s="468" t="s">
        <v>76</v>
      </c>
      <c r="E33" s="469"/>
      <c r="F33" s="470"/>
      <c r="G33" s="9"/>
      <c r="H33" s="291">
        <f>IF(G31/0.95-G31&lt;G33,"Exceeds 5%","")</f>
      </c>
    </row>
    <row r="34" spans="1:7" ht="15.75">
      <c r="A34" s="23" t="str">
        <f>CONCATENATE("Violation of Budget Law for ",G1-2,"/",G1-1,":")</f>
        <v>Violation of Budget Law for 2008/2009:</v>
      </c>
      <c r="B34" s="332" t="str">
        <f>IF(C31&gt;B33,"Yes","No")</f>
        <v>No</v>
      </c>
      <c r="C34" s="332" t="str">
        <f>IF(E31&gt;C33,"Yes","No")</f>
        <v>No</v>
      </c>
      <c r="D34" s="21"/>
      <c r="E34" s="471" t="s">
        <v>77</v>
      </c>
      <c r="F34" s="472"/>
      <c r="G34" s="85">
        <f>G31+G33</f>
        <v>0</v>
      </c>
    </row>
    <row r="35" spans="1:7" ht="15.75">
      <c r="A35" s="23" t="str">
        <f>CONCATENATE("Possible Cash Violation for ",G1-2,":")</f>
        <v>Possible Cash Violation for 2008:</v>
      </c>
      <c r="B35" s="332" t="str">
        <f>IF(C32&lt;0,"Yes","No")</f>
        <v>No</v>
      </c>
      <c r="C35" s="332"/>
      <c r="D35" s="21"/>
      <c r="E35" s="471" t="s">
        <v>173</v>
      </c>
      <c r="F35" s="472"/>
      <c r="G35" s="262">
        <f>IF(G34-G21&gt;0,G34-G21,0)</f>
        <v>0</v>
      </c>
    </row>
    <row r="36" spans="1:7" ht="15.75">
      <c r="A36" s="24"/>
      <c r="B36" s="24"/>
      <c r="C36" s="473" t="s">
        <v>78</v>
      </c>
      <c r="D36" s="474"/>
      <c r="E36" s="474"/>
      <c r="F36" s="230">
        <f>(inputOth!$E$46)</f>
        <v>0</v>
      </c>
      <c r="G36" s="85">
        <f>ROUND(IF(F36&gt;0,(G35*F36),0),0)</f>
        <v>0</v>
      </c>
    </row>
    <row r="37" spans="1:7" ht="15.75">
      <c r="A37" s="21"/>
      <c r="B37" s="21"/>
      <c r="C37" s="465" t="str">
        <f>CONCATENATE("Amount of  ",$G$1-1," Ad Valorem Tax")</f>
        <v>Amount of  2009 Ad Valorem Tax</v>
      </c>
      <c r="D37" s="466"/>
      <c r="E37" s="466"/>
      <c r="F37" s="467"/>
      <c r="G37" s="387">
        <f>G35+G36</f>
        <v>0</v>
      </c>
    </row>
    <row r="38" spans="1:7" ht="15.75">
      <c r="A38" s="21"/>
      <c r="B38" s="21"/>
      <c r="C38" s="21"/>
      <c r="D38" s="21"/>
      <c r="E38" s="21"/>
      <c r="F38" s="21"/>
      <c r="G38" s="21"/>
    </row>
    <row r="39" spans="1:7" ht="15.75">
      <c r="A39" s="25" t="s">
        <v>156</v>
      </c>
      <c r="B39" s="25"/>
      <c r="C39" s="31"/>
      <c r="D39" s="31"/>
      <c r="E39" s="31"/>
      <c r="F39" s="31"/>
      <c r="G39" s="31"/>
    </row>
    <row r="40" spans="1:7" ht="15.75">
      <c r="A40" s="21"/>
      <c r="B40" s="21"/>
      <c r="C40" s="485" t="s">
        <v>180</v>
      </c>
      <c r="D40" s="486"/>
      <c r="E40" s="481" t="s">
        <v>317</v>
      </c>
      <c r="F40" s="482"/>
      <c r="G40" s="33" t="s">
        <v>318</v>
      </c>
    </row>
    <row r="41" spans="1:7" ht="15.75">
      <c r="A41" s="138">
        <f>inputPrYr!B28</f>
        <v>0</v>
      </c>
      <c r="B41" s="138"/>
      <c r="C41" s="483">
        <f>G1-2</f>
        <v>2008</v>
      </c>
      <c r="D41" s="484"/>
      <c r="E41" s="483">
        <f>G1-1</f>
        <v>2009</v>
      </c>
      <c r="F41" s="484"/>
      <c r="G41" s="147">
        <f>G1</f>
        <v>2010</v>
      </c>
    </row>
    <row r="42" spans="1:7" ht="15.75">
      <c r="A42" s="306" t="s">
        <v>289</v>
      </c>
      <c r="B42" s="312"/>
      <c r="C42" s="455"/>
      <c r="D42" s="456"/>
      <c r="E42" s="461">
        <f>C67</f>
        <v>0</v>
      </c>
      <c r="F42" s="462"/>
      <c r="G42" s="85">
        <f>E67</f>
        <v>0</v>
      </c>
    </row>
    <row r="43" spans="1:7" ht="15.75">
      <c r="A43" s="311" t="s">
        <v>291</v>
      </c>
      <c r="B43" s="312"/>
      <c r="C43" s="463"/>
      <c r="D43" s="464"/>
      <c r="E43" s="463"/>
      <c r="F43" s="464"/>
      <c r="G43" s="40"/>
    </row>
    <row r="44" spans="1:7" ht="15.75">
      <c r="A44" s="37" t="s">
        <v>157</v>
      </c>
      <c r="B44" s="312"/>
      <c r="C44" s="455"/>
      <c r="D44" s="456"/>
      <c r="E44" s="461">
        <f>inputPrYr!E28</f>
        <v>0</v>
      </c>
      <c r="F44" s="462"/>
      <c r="G44" s="97" t="s">
        <v>144</v>
      </c>
    </row>
    <row r="45" spans="1:7" ht="15.75">
      <c r="A45" s="37" t="s">
        <v>158</v>
      </c>
      <c r="B45" s="312"/>
      <c r="C45" s="455"/>
      <c r="D45" s="456"/>
      <c r="E45" s="455"/>
      <c r="F45" s="456"/>
      <c r="G45" s="9"/>
    </row>
    <row r="46" spans="1:7" ht="15.75">
      <c r="A46" s="37" t="s">
        <v>159</v>
      </c>
      <c r="B46" s="312"/>
      <c r="C46" s="455"/>
      <c r="D46" s="456"/>
      <c r="E46" s="455"/>
      <c r="F46" s="456"/>
      <c r="G46" s="85" t="str">
        <f>mvalloc!C18</f>
        <v>  </v>
      </c>
    </row>
    <row r="47" spans="1:7" ht="15.75">
      <c r="A47" s="37" t="s">
        <v>160</v>
      </c>
      <c r="B47" s="312"/>
      <c r="C47" s="455"/>
      <c r="D47" s="456"/>
      <c r="E47" s="455"/>
      <c r="F47" s="456"/>
      <c r="G47" s="85" t="str">
        <f>mvalloc!D18</f>
        <v> </v>
      </c>
    </row>
    <row r="48" spans="1:7" ht="15.75">
      <c r="A48" s="316" t="s">
        <v>266</v>
      </c>
      <c r="B48" s="312"/>
      <c r="C48" s="455"/>
      <c r="D48" s="456"/>
      <c r="E48" s="455"/>
      <c r="F48" s="456"/>
      <c r="G48" s="85" t="str">
        <f>mvalloc!E18</f>
        <v> </v>
      </c>
    </row>
    <row r="49" spans="1:7" ht="15.75">
      <c r="A49" s="317" t="s">
        <v>337</v>
      </c>
      <c r="B49" s="312"/>
      <c r="C49" s="455"/>
      <c r="D49" s="456"/>
      <c r="E49" s="455"/>
      <c r="F49" s="456"/>
      <c r="G49" s="85" t="str">
        <f>mvalloc!F18</f>
        <v> </v>
      </c>
    </row>
    <row r="50" spans="1:7" ht="15.75">
      <c r="A50" s="296"/>
      <c r="B50" s="313"/>
      <c r="C50" s="455"/>
      <c r="D50" s="456"/>
      <c r="E50" s="455"/>
      <c r="F50" s="456"/>
      <c r="G50" s="9"/>
    </row>
    <row r="51" spans="1:7" ht="15.75">
      <c r="A51" s="296"/>
      <c r="B51" s="313"/>
      <c r="C51" s="455"/>
      <c r="D51" s="456"/>
      <c r="E51" s="455"/>
      <c r="F51" s="456"/>
      <c r="G51" s="9"/>
    </row>
    <row r="52" spans="1:7" ht="15.75">
      <c r="A52" s="307" t="s">
        <v>164</v>
      </c>
      <c r="B52" s="313"/>
      <c r="C52" s="455"/>
      <c r="D52" s="456"/>
      <c r="E52" s="455"/>
      <c r="F52" s="456"/>
      <c r="G52" s="9"/>
    </row>
    <row r="53" spans="1:7" ht="15.75">
      <c r="A53" s="316" t="s">
        <v>26</v>
      </c>
      <c r="B53" s="312"/>
      <c r="C53" s="455"/>
      <c r="D53" s="456"/>
      <c r="E53" s="455"/>
      <c r="F53" s="456"/>
      <c r="G53" s="308"/>
    </row>
    <row r="54" spans="1:7" ht="15.75">
      <c r="A54" s="306" t="s">
        <v>28</v>
      </c>
      <c r="B54" s="312"/>
      <c r="C54" s="475">
        <f>IF(C55*0.1&lt;C53,"Exceed 10% Rule","")</f>
      </c>
      <c r="D54" s="476"/>
      <c r="E54" s="475">
        <f>IF(E55*0.1&lt;E53,"Exceed 10% Rule","")</f>
      </c>
      <c r="F54" s="476"/>
      <c r="G54" s="348">
        <f>IF(G55*0.1+G72&lt;G53,"Exceed 10% Rule","")</f>
      </c>
    </row>
    <row r="55" spans="1:7" ht="15.75">
      <c r="A55" s="153" t="s">
        <v>165</v>
      </c>
      <c r="B55" s="312"/>
      <c r="C55" s="479">
        <f>SUM(C44:C53)</f>
        <v>0</v>
      </c>
      <c r="D55" s="480"/>
      <c r="E55" s="479">
        <f>SUM(E44:E53)</f>
        <v>0</v>
      </c>
      <c r="F55" s="480"/>
      <c r="G55" s="263">
        <f>SUM(G44:G53)</f>
        <v>0</v>
      </c>
    </row>
    <row r="56" spans="1:7" ht="15.75">
      <c r="A56" s="153" t="s">
        <v>166</v>
      </c>
      <c r="B56" s="312"/>
      <c r="C56" s="479">
        <f>C42+C55</f>
        <v>0</v>
      </c>
      <c r="D56" s="480"/>
      <c r="E56" s="479">
        <f>E42+E55</f>
        <v>0</v>
      </c>
      <c r="F56" s="480"/>
      <c r="G56" s="263">
        <f>G42+G55</f>
        <v>0</v>
      </c>
    </row>
    <row r="57" spans="1:7" ht="15.75">
      <c r="A57" s="37" t="s">
        <v>168</v>
      </c>
      <c r="B57" s="312"/>
      <c r="C57" s="499"/>
      <c r="D57" s="500"/>
      <c r="E57" s="499"/>
      <c r="F57" s="500"/>
      <c r="G57" s="42"/>
    </row>
    <row r="58" spans="1:7" ht="15.75">
      <c r="A58" s="296"/>
      <c r="B58" s="313"/>
      <c r="C58" s="455"/>
      <c r="D58" s="456"/>
      <c r="E58" s="455"/>
      <c r="F58" s="456"/>
      <c r="G58" s="9"/>
    </row>
    <row r="59" spans="1:7" ht="15.75">
      <c r="A59" s="296"/>
      <c r="B59" s="313"/>
      <c r="C59" s="455"/>
      <c r="D59" s="456"/>
      <c r="E59" s="455"/>
      <c r="F59" s="456"/>
      <c r="G59" s="9"/>
    </row>
    <row r="60" spans="1:7" ht="15.75">
      <c r="A60" s="296"/>
      <c r="B60" s="313"/>
      <c r="C60" s="455"/>
      <c r="D60" s="456"/>
      <c r="E60" s="455"/>
      <c r="F60" s="456"/>
      <c r="G60" s="9"/>
    </row>
    <row r="61" spans="1:7" ht="15.75">
      <c r="A61" s="296"/>
      <c r="B61" s="313"/>
      <c r="C61" s="455"/>
      <c r="D61" s="456"/>
      <c r="E61" s="455"/>
      <c r="F61" s="456"/>
      <c r="G61" s="9"/>
    </row>
    <row r="62" spans="1:7" ht="15.75">
      <c r="A62" s="296"/>
      <c r="B62" s="313"/>
      <c r="C62" s="455"/>
      <c r="D62" s="456"/>
      <c r="E62" s="455"/>
      <c r="F62" s="456"/>
      <c r="G62" s="9"/>
    </row>
    <row r="63" spans="1:7" ht="15.75">
      <c r="A63" s="314" t="s">
        <v>25</v>
      </c>
      <c r="B63" s="312"/>
      <c r="C63" s="455"/>
      <c r="D63" s="456"/>
      <c r="E63" s="455"/>
      <c r="F63" s="456"/>
      <c r="G63" s="262">
        <f>nhood!E17</f>
      </c>
    </row>
    <row r="64" spans="1:7" ht="15.75">
      <c r="A64" s="314" t="s">
        <v>26</v>
      </c>
      <c r="B64" s="312"/>
      <c r="C64" s="455"/>
      <c r="D64" s="456"/>
      <c r="E64" s="455"/>
      <c r="F64" s="456"/>
      <c r="G64" s="308"/>
    </row>
    <row r="65" spans="1:7" ht="15.75">
      <c r="A65" s="314" t="s">
        <v>27</v>
      </c>
      <c r="B65" s="312"/>
      <c r="C65" s="475">
        <f>IF(C66*0.1&lt;C64,"Exceed 10% Rule","")</f>
      </c>
      <c r="D65" s="476"/>
      <c r="E65" s="475">
        <f>IF(E66*0.1&lt;E64,"Exceed 10% Rule","")</f>
      </c>
      <c r="F65" s="476"/>
      <c r="G65" s="348">
        <f>IF(G66*0.1&lt;G64,"Exceed 10% Rule","")</f>
      </c>
    </row>
    <row r="66" spans="1:7" ht="15.75">
      <c r="A66" s="153" t="s">
        <v>172</v>
      </c>
      <c r="B66" s="312"/>
      <c r="C66" s="479">
        <f>SUM(C58:C64)</f>
        <v>0</v>
      </c>
      <c r="D66" s="480"/>
      <c r="E66" s="479">
        <f>SUM(E58:E64)</f>
        <v>0</v>
      </c>
      <c r="F66" s="480"/>
      <c r="G66" s="263">
        <f>SUM(G58:G64)</f>
        <v>0</v>
      </c>
    </row>
    <row r="67" spans="1:7" ht="15.75">
      <c r="A67" s="37" t="s">
        <v>290</v>
      </c>
      <c r="B67" s="312"/>
      <c r="C67" s="457">
        <f>C56-C66</f>
        <v>0</v>
      </c>
      <c r="D67" s="458"/>
      <c r="E67" s="457">
        <f>E56-E66</f>
        <v>0</v>
      </c>
      <c r="F67" s="458"/>
      <c r="G67" s="97" t="s">
        <v>144</v>
      </c>
    </row>
    <row r="68" spans="1:8" ht="15.75">
      <c r="A68" s="23" t="str">
        <f>CONCATENATE("",G1-2,"/",G1-1," Budget Authority Amount:")</f>
        <v>2008/2009 Budget Authority Amount:</v>
      </c>
      <c r="B68" s="331">
        <f>inputOth!B70</f>
        <v>0</v>
      </c>
      <c r="C68" s="331">
        <f>inputPrYr!D28</f>
        <v>0</v>
      </c>
      <c r="D68" s="468" t="s">
        <v>76</v>
      </c>
      <c r="E68" s="469"/>
      <c r="F68" s="470"/>
      <c r="G68" s="9"/>
      <c r="H68" s="291">
        <f>IF(G66/0.95-G66&lt;G68,"Exceeds 5%","")</f>
      </c>
    </row>
    <row r="69" spans="1:7" ht="15.75">
      <c r="A69" s="23" t="str">
        <f>CONCATENATE("Violation of Budget Law for ",G1-2,"/",G1-1,":")</f>
        <v>Violation of Budget Law for 2008/2009:</v>
      </c>
      <c r="B69" s="332" t="str">
        <f>IF(C66&gt;B68,"Yes","No")</f>
        <v>No</v>
      </c>
      <c r="C69" s="332" t="str">
        <f>IF(E66&gt;C68,"Yes","No")</f>
        <v>No</v>
      </c>
      <c r="D69" s="21"/>
      <c r="E69" s="471" t="s">
        <v>77</v>
      </c>
      <c r="F69" s="472"/>
      <c r="G69" s="85">
        <f>G66+G68</f>
        <v>0</v>
      </c>
    </row>
    <row r="70" spans="1:7" ht="15.75">
      <c r="A70" s="23" t="str">
        <f>CONCATENATE("Possible Cash Violation for ",G1-2,":")</f>
        <v>Possible Cash Violation for 2008:</v>
      </c>
      <c r="B70" s="332" t="str">
        <f>IF(C67&lt;0,"Yes","No")</f>
        <v>No</v>
      </c>
      <c r="C70" s="332"/>
      <c r="D70" s="21"/>
      <c r="E70" s="471" t="s">
        <v>173</v>
      </c>
      <c r="F70" s="472"/>
      <c r="G70" s="262">
        <f>IF(G69-G56&gt;0,G69-G56,0)</f>
        <v>0</v>
      </c>
    </row>
    <row r="71" spans="1:7" ht="15.75">
      <c r="A71" s="24"/>
      <c r="B71" s="24"/>
      <c r="C71" s="473" t="s">
        <v>78</v>
      </c>
      <c r="D71" s="474"/>
      <c r="E71" s="474"/>
      <c r="F71" s="230">
        <f>(inputOth!$E$46)</f>
        <v>0</v>
      </c>
      <c r="G71" s="85">
        <f>ROUND(IF(F71&gt;0,(G70*F71),0),0)</f>
        <v>0</v>
      </c>
    </row>
    <row r="72" spans="1:7" ht="15.75">
      <c r="A72" s="21"/>
      <c r="B72" s="21"/>
      <c r="C72" s="465" t="str">
        <f>CONCATENATE("Amount of  ",$G$1-1," Ad Valorem Tax")</f>
        <v>Amount of  2009 Ad Valorem Tax</v>
      </c>
      <c r="D72" s="466"/>
      <c r="E72" s="466"/>
      <c r="F72" s="467"/>
      <c r="G72" s="387">
        <f>G70+G71</f>
        <v>0</v>
      </c>
    </row>
    <row r="73" spans="1:7" ht="15.75">
      <c r="A73" s="21"/>
      <c r="B73" s="21"/>
      <c r="C73" s="21"/>
      <c r="D73" s="21"/>
      <c r="E73" s="21"/>
      <c r="F73" s="21"/>
      <c r="G73" s="21"/>
    </row>
    <row r="74" spans="1:7" ht="15.75">
      <c r="A74" s="137"/>
      <c r="B74" s="24" t="s">
        <v>175</v>
      </c>
      <c r="C74" s="100"/>
      <c r="D74" s="137"/>
      <c r="E74" s="21"/>
      <c r="F74" s="21"/>
      <c r="G74" s="21"/>
    </row>
  </sheetData>
  <sheetProtection sheet="1" objects="1" scenarios="1"/>
  <mergeCells count="122">
    <mergeCell ref="C47:D47"/>
    <mergeCell ref="C48:D48"/>
    <mergeCell ref="E52:F52"/>
    <mergeCell ref="E53:F53"/>
    <mergeCell ref="C49:D49"/>
    <mergeCell ref="C50:D50"/>
    <mergeCell ref="E47:F47"/>
    <mergeCell ref="E48:F48"/>
    <mergeCell ref="E49:F49"/>
    <mergeCell ref="C67:D67"/>
    <mergeCell ref="C66:D66"/>
    <mergeCell ref="C65:D65"/>
    <mergeCell ref="E67:F67"/>
    <mergeCell ref="E66:F66"/>
    <mergeCell ref="E65:F65"/>
    <mergeCell ref="C41:D41"/>
    <mergeCell ref="C57:D57"/>
    <mergeCell ref="E44:F44"/>
    <mergeCell ref="E43:F43"/>
    <mergeCell ref="E42:F42"/>
    <mergeCell ref="C42:D42"/>
    <mergeCell ref="C44:D44"/>
    <mergeCell ref="E55:F55"/>
    <mergeCell ref="E54:F54"/>
    <mergeCell ref="C55:D55"/>
    <mergeCell ref="C45:D45"/>
    <mergeCell ref="C46:D46"/>
    <mergeCell ref="E25:F25"/>
    <mergeCell ref="C43:D43"/>
    <mergeCell ref="C32:D32"/>
    <mergeCell ref="C31:D31"/>
    <mergeCell ref="C30:D30"/>
    <mergeCell ref="D33:F33"/>
    <mergeCell ref="E34:F34"/>
    <mergeCell ref="E35:F35"/>
    <mergeCell ref="E40:F40"/>
    <mergeCell ref="C22:D22"/>
    <mergeCell ref="C25:D25"/>
    <mergeCell ref="C26:D26"/>
    <mergeCell ref="C27:D27"/>
    <mergeCell ref="C28:D28"/>
    <mergeCell ref="C29:D29"/>
    <mergeCell ref="C40:D40"/>
    <mergeCell ref="C23:D23"/>
    <mergeCell ref="C24:D24"/>
    <mergeCell ref="E19:F19"/>
    <mergeCell ref="E32:F32"/>
    <mergeCell ref="E31:F31"/>
    <mergeCell ref="E30:F30"/>
    <mergeCell ref="E26:F26"/>
    <mergeCell ref="E27:F27"/>
    <mergeCell ref="E5:F5"/>
    <mergeCell ref="C5:D5"/>
    <mergeCell ref="C6:D6"/>
    <mergeCell ref="C7:D7"/>
    <mergeCell ref="E9:F9"/>
    <mergeCell ref="E8:F8"/>
    <mergeCell ref="E7:F7"/>
    <mergeCell ref="E6:F6"/>
    <mergeCell ref="C12:D12"/>
    <mergeCell ref="C13:D13"/>
    <mergeCell ref="C14:D14"/>
    <mergeCell ref="C15:D15"/>
    <mergeCell ref="C8:D8"/>
    <mergeCell ref="C9:D9"/>
    <mergeCell ref="C10:D10"/>
    <mergeCell ref="C11:D11"/>
    <mergeCell ref="E10:F10"/>
    <mergeCell ref="E11:F11"/>
    <mergeCell ref="E12:F12"/>
    <mergeCell ref="E13:F13"/>
    <mergeCell ref="E14:F14"/>
    <mergeCell ref="E15:F15"/>
    <mergeCell ref="E45:F45"/>
    <mergeCell ref="E46:F46"/>
    <mergeCell ref="C20:D20"/>
    <mergeCell ref="C19:D19"/>
    <mergeCell ref="C16:D16"/>
    <mergeCell ref="C17:D17"/>
    <mergeCell ref="C18:D18"/>
    <mergeCell ref="E16:F16"/>
    <mergeCell ref="E21:F21"/>
    <mergeCell ref="E20:F20"/>
    <mergeCell ref="E17:F17"/>
    <mergeCell ref="E18:F18"/>
    <mergeCell ref="E28:F28"/>
    <mergeCell ref="E29:F29"/>
    <mergeCell ref="E41:F41"/>
    <mergeCell ref="C58:D58"/>
    <mergeCell ref="E23:F23"/>
    <mergeCell ref="E24:F24"/>
    <mergeCell ref="E22:F22"/>
    <mergeCell ref="C21:D21"/>
    <mergeCell ref="C59:D59"/>
    <mergeCell ref="C51:D51"/>
    <mergeCell ref="C52:D52"/>
    <mergeCell ref="E59:F59"/>
    <mergeCell ref="E60:F60"/>
    <mergeCell ref="C53:D53"/>
    <mergeCell ref="C56:D56"/>
    <mergeCell ref="E56:F56"/>
    <mergeCell ref="C54:D54"/>
    <mergeCell ref="C71:E71"/>
    <mergeCell ref="E61:F61"/>
    <mergeCell ref="E50:F50"/>
    <mergeCell ref="E51:F51"/>
    <mergeCell ref="E57:F57"/>
    <mergeCell ref="E64:F64"/>
    <mergeCell ref="C61:D61"/>
    <mergeCell ref="C62:D62"/>
    <mergeCell ref="C63:D63"/>
    <mergeCell ref="C64:D64"/>
    <mergeCell ref="E62:F62"/>
    <mergeCell ref="E63:F63"/>
    <mergeCell ref="C60:D60"/>
    <mergeCell ref="E58:F58"/>
    <mergeCell ref="C72:F72"/>
    <mergeCell ref="C36:E36"/>
    <mergeCell ref="C37:F37"/>
    <mergeCell ref="D68:F68"/>
    <mergeCell ref="E69:F69"/>
    <mergeCell ref="E70:F70"/>
  </mergeCells>
  <conditionalFormatting sqref="G29">
    <cfRule type="cellIs" priority="1" dxfId="245" operator="greaterThan" stopIfTrue="1">
      <formula>$G$31*0.1</formula>
    </cfRule>
  </conditionalFormatting>
  <conditionalFormatting sqref="G33">
    <cfRule type="cellIs" priority="2" dxfId="245" operator="greaterThan" stopIfTrue="1">
      <formula>$G$31/0.95-$G$31</formula>
    </cfRule>
  </conditionalFormatting>
  <conditionalFormatting sqref="G64">
    <cfRule type="cellIs" priority="3" dxfId="245" operator="greaterThan" stopIfTrue="1">
      <formula>$G$66*0.1</formula>
    </cfRule>
  </conditionalFormatting>
  <conditionalFormatting sqref="G68">
    <cfRule type="cellIs" priority="4" dxfId="245" operator="greaterThan" stopIfTrue="1">
      <formula>$G$66/0.95-$G$66</formula>
    </cfRule>
  </conditionalFormatting>
  <conditionalFormatting sqref="C29:D29">
    <cfRule type="cellIs" priority="5" dxfId="0" operator="greaterThan" stopIfTrue="1">
      <formula>$C$31*0.1</formula>
    </cfRule>
  </conditionalFormatting>
  <conditionalFormatting sqref="E29:F29">
    <cfRule type="cellIs" priority="6" dxfId="0" operator="greaterThan" stopIfTrue="1">
      <formula>$E$31*0.1</formula>
    </cfRule>
  </conditionalFormatting>
  <conditionalFormatting sqref="E31:F31">
    <cfRule type="cellIs" priority="7" dxfId="0" operator="greaterThan" stopIfTrue="1">
      <formula>$C$33</formula>
    </cfRule>
  </conditionalFormatting>
  <conditionalFormatting sqref="C31:D31">
    <cfRule type="cellIs" priority="8" dxfId="0" operator="greaterThan" stopIfTrue="1">
      <formula>$B$33</formula>
    </cfRule>
  </conditionalFormatting>
  <conditionalFormatting sqref="C32:D32 C67:D67">
    <cfRule type="cellIs" priority="9" dxfId="0" operator="lessThan" stopIfTrue="1">
      <formula>0</formula>
    </cfRule>
  </conditionalFormatting>
  <conditionalFormatting sqref="C64:D64">
    <cfRule type="cellIs" priority="10" dxfId="0" operator="greaterThan" stopIfTrue="1">
      <formula>$C$66*0.1</formula>
    </cfRule>
  </conditionalFormatting>
  <conditionalFormatting sqref="E64:F64">
    <cfRule type="cellIs" priority="11" dxfId="0" operator="greaterThan" stopIfTrue="1">
      <formula>$E$66*0.1</formula>
    </cfRule>
  </conditionalFormatting>
  <conditionalFormatting sqref="E66:F66">
    <cfRule type="cellIs" priority="12" dxfId="0" operator="greaterThan" stopIfTrue="1">
      <formula>$C$68</formula>
    </cfRule>
  </conditionalFormatting>
  <conditionalFormatting sqref="C66:D66">
    <cfRule type="cellIs" priority="13" dxfId="0" operator="greaterThan" stopIfTrue="1">
      <formula>$B$68</formula>
    </cfRule>
  </conditionalFormatting>
  <conditionalFormatting sqref="E18:F18">
    <cfRule type="cellIs" priority="14" dxfId="0" operator="greaterThan" stopIfTrue="1">
      <formula>$E$20*0.1</formula>
    </cfRule>
  </conditionalFormatting>
  <conditionalFormatting sqref="C18:D18">
    <cfRule type="cellIs" priority="15" dxfId="0" operator="greaterThan" stopIfTrue="1">
      <formula>$C$20*0.1</formula>
    </cfRule>
  </conditionalFormatting>
  <conditionalFormatting sqref="E53:F53">
    <cfRule type="cellIs" priority="16" dxfId="0" operator="greaterThan" stopIfTrue="1">
      <formula>$E$55*0.1</formula>
    </cfRule>
  </conditionalFormatting>
  <conditionalFormatting sqref="C53:D53">
    <cfRule type="cellIs" priority="17" dxfId="0" operator="greaterThan" stopIfTrue="1">
      <formula>$C$55*0.1</formula>
    </cfRule>
  </conditionalFormatting>
  <conditionalFormatting sqref="G53">
    <cfRule type="cellIs" priority="18" dxfId="245" operator="greaterThan" stopIfTrue="1">
      <formula>$G$55*0.1+G72</formula>
    </cfRule>
  </conditionalFormatting>
  <conditionalFormatting sqref="G18">
    <cfRule type="cellIs" priority="19" dxfId="245" operator="greaterThan" stopIfTrue="1">
      <formula>$G$20*0.1+G37</formula>
    </cfRule>
  </conditionalFormatting>
  <printOptions/>
  <pageMargins left="0.5" right="0.5" top="1" bottom="0.5" header="0.5" footer="0.5"/>
  <pageSetup blackAndWhite="1" fitToHeight="1" fitToWidth="1" horizontalDpi="120" verticalDpi="120" orientation="portrait" r:id="rId1"/>
  <headerFooter alignWithMargins="0">
    <oddHeader>&amp;RState of Kansas
City</oddHeader>
    <oddFooter>&amp;Lrevised 8/21/08</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E65"/>
  <sheetViews>
    <sheetView zoomScalePageLayoutView="0" workbookViewId="0" topLeftCell="A1">
      <selection activeCell="B1" sqref="B1"/>
    </sheetView>
  </sheetViews>
  <sheetFormatPr defaultColWidth="8.796875" defaultRowHeight="15"/>
  <cols>
    <col min="1" max="1" width="28.796875" style="2" customWidth="1"/>
    <col min="2" max="2" width="9.59765625" style="2" customWidth="1"/>
    <col min="3" max="4" width="15.796875" style="2" customWidth="1"/>
    <col min="5" max="5" width="16.09765625" style="2" customWidth="1"/>
    <col min="6" max="16384" width="8.8984375" style="2" customWidth="1"/>
  </cols>
  <sheetData>
    <row r="1" spans="1:5" ht="15.75">
      <c r="A1" s="72" t="str">
        <f>(inputPrYr!D2)</f>
        <v>CITY OF PARK CITY</v>
      </c>
      <c r="B1" s="72"/>
      <c r="C1" s="21"/>
      <c r="D1" s="21"/>
      <c r="E1" s="139">
        <f>inputPrYr!C5</f>
        <v>2010</v>
      </c>
    </row>
    <row r="2" spans="1:5" ht="15.75">
      <c r="A2" s="21"/>
      <c r="B2" s="21"/>
      <c r="C2" s="21"/>
      <c r="D2" s="21"/>
      <c r="E2" s="24"/>
    </row>
    <row r="3" spans="1:5" ht="15.75">
      <c r="A3" s="90" t="s">
        <v>234</v>
      </c>
      <c r="B3" s="90"/>
      <c r="C3" s="96"/>
      <c r="D3" s="96"/>
      <c r="E3" s="96"/>
    </row>
    <row r="4" spans="1:5" ht="15.75">
      <c r="A4" s="25" t="s">
        <v>156</v>
      </c>
      <c r="B4" s="25"/>
      <c r="C4" s="93" t="s">
        <v>180</v>
      </c>
      <c r="D4" s="33" t="s">
        <v>317</v>
      </c>
      <c r="E4" s="33" t="s">
        <v>318</v>
      </c>
    </row>
    <row r="5" spans="1:5" ht="15.75">
      <c r="A5" s="138">
        <f>inputPrYr!B42</f>
        <v>0</v>
      </c>
      <c r="B5" s="138"/>
      <c r="C5" s="147">
        <f>E1-2</f>
        <v>2008</v>
      </c>
      <c r="D5" s="147">
        <f>E1-1</f>
        <v>2009</v>
      </c>
      <c r="E5" s="147">
        <f>E1</f>
        <v>2010</v>
      </c>
    </row>
    <row r="6" spans="1:5" ht="15.75">
      <c r="A6" s="306" t="s">
        <v>289</v>
      </c>
      <c r="B6" s="312"/>
      <c r="C6" s="308"/>
      <c r="D6" s="85">
        <f>C29</f>
        <v>0</v>
      </c>
      <c r="E6" s="85">
        <f>D29</f>
        <v>0</v>
      </c>
    </row>
    <row r="7" spans="1:5" s="7" customFormat="1" ht="15.75">
      <c r="A7" s="311" t="s">
        <v>291</v>
      </c>
      <c r="B7" s="312"/>
      <c r="C7" s="300"/>
      <c r="D7" s="40"/>
      <c r="E7" s="40"/>
    </row>
    <row r="8" spans="1:5" ht="15.75">
      <c r="A8" s="296"/>
      <c r="B8" s="313"/>
      <c r="C8" s="308"/>
      <c r="D8" s="9"/>
      <c r="E8" s="9"/>
    </row>
    <row r="9" spans="1:5" ht="15.75">
      <c r="A9" s="296"/>
      <c r="B9" s="313"/>
      <c r="C9" s="308"/>
      <c r="D9" s="9"/>
      <c r="E9" s="9"/>
    </row>
    <row r="10" spans="1:5" ht="15.75">
      <c r="A10" s="296"/>
      <c r="B10" s="313"/>
      <c r="C10" s="308"/>
      <c r="D10" s="9"/>
      <c r="E10" s="9"/>
    </row>
    <row r="11" spans="1:5" ht="15.75">
      <c r="A11" s="296"/>
      <c r="B11" s="313"/>
      <c r="C11" s="308"/>
      <c r="D11" s="9"/>
      <c r="E11" s="9"/>
    </row>
    <row r="12" spans="1:5" ht="15.75">
      <c r="A12" s="307" t="s">
        <v>164</v>
      </c>
      <c r="B12" s="313"/>
      <c r="C12" s="308"/>
      <c r="D12" s="9"/>
      <c r="E12" s="9"/>
    </row>
    <row r="13" spans="1:5" ht="15.75">
      <c r="A13" s="316" t="s">
        <v>26</v>
      </c>
      <c r="B13" s="312"/>
      <c r="C13" s="308"/>
      <c r="D13" s="308"/>
      <c r="E13" s="308"/>
    </row>
    <row r="14" spans="1:5" ht="15.75">
      <c r="A14" s="306" t="s">
        <v>28</v>
      </c>
      <c r="B14" s="312"/>
      <c r="C14" s="348">
        <f>IF(C15*0.1&lt;C13,"Exceed 10% Rule","")</f>
      </c>
      <c r="D14" s="348">
        <f>IF(D15*0.1&lt;D13,"Exceed 10% Rule","")</f>
      </c>
      <c r="E14" s="348">
        <f>IF(E15*0.1&lt;E13,"Exceed 10% Rule","")</f>
      </c>
    </row>
    <row r="15" spans="1:5" ht="15.75">
      <c r="A15" s="153" t="s">
        <v>165</v>
      </c>
      <c r="B15" s="312"/>
      <c r="C15" s="309">
        <f>SUM(C8:C13)</f>
        <v>0</v>
      </c>
      <c r="D15" s="263">
        <f>SUM(D8:D13)</f>
        <v>0</v>
      </c>
      <c r="E15" s="263">
        <f>SUM(E8:E13)</f>
        <v>0</v>
      </c>
    </row>
    <row r="16" spans="1:5" ht="15.75">
      <c r="A16" s="153" t="s">
        <v>166</v>
      </c>
      <c r="B16" s="312"/>
      <c r="C16" s="309">
        <f>C6+C15</f>
        <v>0</v>
      </c>
      <c r="D16" s="263">
        <f>D6+D15</f>
        <v>0</v>
      </c>
      <c r="E16" s="263">
        <f>E6+E15</f>
        <v>0</v>
      </c>
    </row>
    <row r="17" spans="1:5" ht="15.75">
      <c r="A17" s="37" t="s">
        <v>168</v>
      </c>
      <c r="B17" s="312"/>
      <c r="C17" s="119"/>
      <c r="D17" s="85"/>
      <c r="E17" s="85"/>
    </row>
    <row r="18" spans="1:5" ht="15.75">
      <c r="A18" s="296"/>
      <c r="B18" s="313"/>
      <c r="C18" s="308"/>
      <c r="D18" s="9"/>
      <c r="E18" s="9"/>
    </row>
    <row r="19" spans="1:5" ht="15.75">
      <c r="A19" s="296"/>
      <c r="B19" s="313"/>
      <c r="C19" s="308"/>
      <c r="D19" s="9"/>
      <c r="E19" s="9"/>
    </row>
    <row r="20" spans="1:5" ht="15.75">
      <c r="A20" s="296"/>
      <c r="B20" s="313"/>
      <c r="C20" s="308"/>
      <c r="D20" s="9"/>
      <c r="E20" s="9"/>
    </row>
    <row r="21" spans="1:5" ht="15.75">
      <c r="A21" s="296"/>
      <c r="B21" s="313"/>
      <c r="C21" s="308"/>
      <c r="D21" s="9"/>
      <c r="E21" s="9"/>
    </row>
    <row r="22" spans="1:5" ht="15.75">
      <c r="A22" s="296"/>
      <c r="B22" s="313"/>
      <c r="C22" s="308"/>
      <c r="D22" s="9"/>
      <c r="E22" s="9"/>
    </row>
    <row r="23" spans="1:5" ht="15.75">
      <c r="A23" s="296"/>
      <c r="B23" s="313"/>
      <c r="C23" s="308"/>
      <c r="D23" s="9"/>
      <c r="E23" s="9"/>
    </row>
    <row r="24" spans="1:5" ht="15.75">
      <c r="A24" s="296"/>
      <c r="B24" s="313"/>
      <c r="C24" s="308"/>
      <c r="D24" s="9"/>
      <c r="E24" s="9"/>
    </row>
    <row r="25" spans="1:5" ht="15.75">
      <c r="A25" s="296"/>
      <c r="B25" s="313"/>
      <c r="C25" s="308"/>
      <c r="D25" s="9"/>
      <c r="E25" s="9"/>
    </row>
    <row r="26" spans="1:5" ht="15.75">
      <c r="A26" s="314" t="s">
        <v>26</v>
      </c>
      <c r="B26" s="312"/>
      <c r="C26" s="308"/>
      <c r="D26" s="308"/>
      <c r="E26" s="308"/>
    </row>
    <row r="27" spans="1:5" ht="15.75">
      <c r="A27" s="314" t="s">
        <v>27</v>
      </c>
      <c r="B27" s="312"/>
      <c r="C27" s="348">
        <f>IF(C28*0.1&lt;C26,"Exceed 10% Rule","")</f>
      </c>
      <c r="D27" s="348">
        <f>IF(D28*0.1&lt;D26,"Exceed 10% Rule","")</f>
      </c>
      <c r="E27" s="348">
        <f>IF(E28*0.1&lt;E26,"Exceed 10% Rule","")</f>
      </c>
    </row>
    <row r="28" spans="1:5" ht="15.75">
      <c r="A28" s="153" t="s">
        <v>172</v>
      </c>
      <c r="B28" s="312"/>
      <c r="C28" s="309">
        <f>SUM(C18:C26)</f>
        <v>0</v>
      </c>
      <c r="D28" s="263">
        <f>SUM(D18:D26)</f>
        <v>0</v>
      </c>
      <c r="E28" s="263">
        <f>SUM(E18:E26)</f>
        <v>0</v>
      </c>
    </row>
    <row r="29" spans="1:5" ht="15.75">
      <c r="A29" s="37" t="s">
        <v>290</v>
      </c>
      <c r="B29" s="312"/>
      <c r="C29" s="310">
        <f>C16-C28</f>
        <v>0</v>
      </c>
      <c r="D29" s="262">
        <f>D16-D28</f>
        <v>0</v>
      </c>
      <c r="E29" s="262">
        <f>E16-E28</f>
        <v>0</v>
      </c>
    </row>
    <row r="30" spans="1:5" ht="15.75">
      <c r="A30" s="23" t="str">
        <f>CONCATENATE("",E1-2,"/",E1-1," Budget Authority Amount:")</f>
        <v>2008/2009 Budget Authority Amount:</v>
      </c>
      <c r="B30" s="331"/>
      <c r="C30" s="331">
        <f>inputOth!B81</f>
        <v>0</v>
      </c>
      <c r="D30" s="331">
        <f>inputPrYr!D42</f>
        <v>0</v>
      </c>
      <c r="E30" s="395">
        <f>IF(E29&lt;0,"Budget Violation","")</f>
      </c>
    </row>
    <row r="31" spans="1:5" ht="15.75">
      <c r="A31" s="23" t="str">
        <f>CONCATENATE("Violation of Budget Law for ",E1-2,"/",E1-1,":")</f>
        <v>Violation of Budget Law for 2008/2009:</v>
      </c>
      <c r="B31" s="332"/>
      <c r="C31" s="332" t="str">
        <f>IF(C28&gt;C30,"Yes","No")</f>
        <v>No</v>
      </c>
      <c r="D31" s="332" t="str">
        <f>IF(D28&gt;D30,"Yes","No")</f>
        <v>No</v>
      </c>
      <c r="E31" s="65"/>
    </row>
    <row r="32" spans="1:5" ht="15.75">
      <c r="A32" s="23" t="str">
        <f>CONCATENATE("Possible Cash Violation for ",E1-2,":")</f>
        <v>Possible Cash Violation for 2008:</v>
      </c>
      <c r="B32" s="332"/>
      <c r="C32" s="332" t="str">
        <f>IF(C29&lt;0,"Yes","No")</f>
        <v>No</v>
      </c>
      <c r="D32" s="332"/>
      <c r="E32" s="65"/>
    </row>
    <row r="33" spans="1:5" ht="15.75">
      <c r="A33" s="21"/>
      <c r="B33" s="21"/>
      <c r="C33" s="65"/>
      <c r="D33" s="65"/>
      <c r="E33" s="65"/>
    </row>
    <row r="34" spans="1:5" ht="15.75">
      <c r="A34" s="25" t="s">
        <v>156</v>
      </c>
      <c r="B34" s="25"/>
      <c r="C34" s="102"/>
      <c r="D34" s="102"/>
      <c r="E34" s="102"/>
    </row>
    <row r="35" spans="1:5" ht="15.75">
      <c r="A35" s="21"/>
      <c r="B35" s="21"/>
      <c r="C35" s="93" t="s">
        <v>180</v>
      </c>
      <c r="D35" s="33" t="s">
        <v>317</v>
      </c>
      <c r="E35" s="33" t="s">
        <v>318</v>
      </c>
    </row>
    <row r="36" spans="1:5" ht="15.75">
      <c r="A36" s="138">
        <f>inputPrYr!B43</f>
        <v>0</v>
      </c>
      <c r="B36" s="138"/>
      <c r="C36" s="147">
        <f>C5</f>
        <v>2008</v>
      </c>
      <c r="D36" s="147">
        <f>D5</f>
        <v>2009</v>
      </c>
      <c r="E36" s="147">
        <f>E5</f>
        <v>2010</v>
      </c>
    </row>
    <row r="37" spans="1:5" ht="15.75">
      <c r="A37" s="306" t="s">
        <v>289</v>
      </c>
      <c r="B37" s="312"/>
      <c r="C37" s="308"/>
      <c r="D37" s="85">
        <f>C60</f>
        <v>0</v>
      </c>
      <c r="E37" s="85">
        <f>D60</f>
        <v>0</v>
      </c>
    </row>
    <row r="38" spans="1:5" s="7" customFormat="1" ht="15.75">
      <c r="A38" s="311" t="s">
        <v>291</v>
      </c>
      <c r="B38" s="312"/>
      <c r="C38" s="300"/>
      <c r="D38" s="40"/>
      <c r="E38" s="40"/>
    </row>
    <row r="39" spans="1:5" ht="15.75">
      <c r="A39" s="296"/>
      <c r="B39" s="313"/>
      <c r="C39" s="308"/>
      <c r="D39" s="9"/>
      <c r="E39" s="9"/>
    </row>
    <row r="40" spans="1:5" ht="15.75">
      <c r="A40" s="296"/>
      <c r="B40" s="313"/>
      <c r="C40" s="308"/>
      <c r="D40" s="9"/>
      <c r="E40" s="9"/>
    </row>
    <row r="41" spans="1:5" ht="15.75">
      <c r="A41" s="296"/>
      <c r="B41" s="313"/>
      <c r="C41" s="308"/>
      <c r="D41" s="9"/>
      <c r="E41" s="9"/>
    </row>
    <row r="42" spans="1:5" ht="15.75">
      <c r="A42" s="296"/>
      <c r="B42" s="313"/>
      <c r="C42" s="308"/>
      <c r="D42" s="9"/>
      <c r="E42" s="9"/>
    </row>
    <row r="43" spans="1:5" ht="15.75">
      <c r="A43" s="307" t="s">
        <v>164</v>
      </c>
      <c r="B43" s="313"/>
      <c r="C43" s="308"/>
      <c r="D43" s="9"/>
      <c r="E43" s="9"/>
    </row>
    <row r="44" spans="1:5" ht="15.75">
      <c r="A44" s="316" t="s">
        <v>26</v>
      </c>
      <c r="B44" s="312"/>
      <c r="C44" s="308"/>
      <c r="D44" s="308"/>
      <c r="E44" s="308"/>
    </row>
    <row r="45" spans="1:5" ht="15.75">
      <c r="A45" s="306" t="s">
        <v>28</v>
      </c>
      <c r="B45" s="312"/>
      <c r="C45" s="348">
        <f>IF(C46*0.1&lt;C44,"Exceed 10% Rule","")</f>
      </c>
      <c r="D45" s="348">
        <f>IF(D46*0.1&lt;D44,"Exceed 10% Rule","")</f>
      </c>
      <c r="E45" s="348">
        <f>IF(E46*0.1&lt;E44,"Exceed 10% Rule","")</f>
      </c>
    </row>
    <row r="46" spans="1:5" ht="15.75">
      <c r="A46" s="153" t="s">
        <v>165</v>
      </c>
      <c r="B46" s="312"/>
      <c r="C46" s="309">
        <f>SUM(C39:C44)</f>
        <v>0</v>
      </c>
      <c r="D46" s="263">
        <f>SUM(D39:D44)</f>
        <v>0</v>
      </c>
      <c r="E46" s="263">
        <f>SUM(E39:E44)</f>
        <v>0</v>
      </c>
    </row>
    <row r="47" spans="1:5" ht="15.75">
      <c r="A47" s="153" t="s">
        <v>166</v>
      </c>
      <c r="B47" s="312"/>
      <c r="C47" s="309">
        <f>C37+C46</f>
        <v>0</v>
      </c>
      <c r="D47" s="263">
        <f>D37+D46</f>
        <v>0</v>
      </c>
      <c r="E47" s="263">
        <f>E37+E46</f>
        <v>0</v>
      </c>
    </row>
    <row r="48" spans="1:5" ht="15.75">
      <c r="A48" s="37" t="s">
        <v>168</v>
      </c>
      <c r="B48" s="312"/>
      <c r="C48" s="119"/>
      <c r="D48" s="85"/>
      <c r="E48" s="85"/>
    </row>
    <row r="49" spans="1:5" ht="15.75">
      <c r="A49" s="296"/>
      <c r="B49" s="313"/>
      <c r="C49" s="308"/>
      <c r="D49" s="9"/>
      <c r="E49" s="9"/>
    </row>
    <row r="50" spans="1:5" ht="15.75">
      <c r="A50" s="296"/>
      <c r="B50" s="313"/>
      <c r="C50" s="308"/>
      <c r="D50" s="9"/>
      <c r="E50" s="9"/>
    </row>
    <row r="51" spans="1:5" ht="15.75">
      <c r="A51" s="296"/>
      <c r="B51" s="313"/>
      <c r="C51" s="308"/>
      <c r="D51" s="9"/>
      <c r="E51" s="9"/>
    </row>
    <row r="52" spans="1:5" ht="15.75">
      <c r="A52" s="296"/>
      <c r="B52" s="313"/>
      <c r="C52" s="308"/>
      <c r="D52" s="9"/>
      <c r="E52" s="9"/>
    </row>
    <row r="53" spans="1:5" ht="15.75">
      <c r="A53" s="296"/>
      <c r="B53" s="313"/>
      <c r="C53" s="308"/>
      <c r="D53" s="9"/>
      <c r="E53" s="9"/>
    </row>
    <row r="54" spans="1:5" ht="15.75">
      <c r="A54" s="296"/>
      <c r="B54" s="313"/>
      <c r="C54" s="308"/>
      <c r="D54" s="9"/>
      <c r="E54" s="9"/>
    </row>
    <row r="55" spans="1:5" ht="15.75">
      <c r="A55" s="296"/>
      <c r="B55" s="313"/>
      <c r="C55" s="308"/>
      <c r="D55" s="9"/>
      <c r="E55" s="9"/>
    </row>
    <row r="56" spans="1:5" ht="15.75">
      <c r="A56" s="296"/>
      <c r="B56" s="313"/>
      <c r="C56" s="308"/>
      <c r="D56" s="9"/>
      <c r="E56" s="9"/>
    </row>
    <row r="57" spans="1:5" ht="15.75">
      <c r="A57" s="314" t="s">
        <v>26</v>
      </c>
      <c r="B57" s="312"/>
      <c r="C57" s="308"/>
      <c r="D57" s="308"/>
      <c r="E57" s="308"/>
    </row>
    <row r="58" spans="1:5" ht="15.75">
      <c r="A58" s="314" t="s">
        <v>27</v>
      </c>
      <c r="B58" s="312"/>
      <c r="C58" s="348">
        <f>IF(C59*0.1&lt;C57,"Exceed 10% Rule","")</f>
      </c>
      <c r="D58" s="348">
        <f>IF(D59*0.1&lt;D57,"Exceed 10% Rule","")</f>
      </c>
      <c r="E58" s="348">
        <f>IF(E59*0.1&lt;E57,"Exceed 10% Rule","")</f>
      </c>
    </row>
    <row r="59" spans="1:5" ht="15.75">
      <c r="A59" s="153" t="s">
        <v>172</v>
      </c>
      <c r="B59" s="312"/>
      <c r="C59" s="309">
        <f>SUM(C49:C57)</f>
        <v>0</v>
      </c>
      <c r="D59" s="263">
        <f>SUM(D49:D57)</f>
        <v>0</v>
      </c>
      <c r="E59" s="263">
        <f>SUM(E49:E57)</f>
        <v>0</v>
      </c>
    </row>
    <row r="60" spans="1:5" ht="15.75">
      <c r="A60" s="37" t="s">
        <v>290</v>
      </c>
      <c r="B60" s="312"/>
      <c r="C60" s="310">
        <f>C47-C59</f>
        <v>0</v>
      </c>
      <c r="D60" s="262">
        <f>D47-D59</f>
        <v>0</v>
      </c>
      <c r="E60" s="262">
        <f>E47-E59</f>
        <v>0</v>
      </c>
    </row>
    <row r="61" spans="1:5" ht="15.75">
      <c r="A61" s="23" t="str">
        <f>CONCATENATE("",E1-2,"/",E1-1," Budget Authority Amount:")</f>
        <v>2008/2009 Budget Authority Amount:</v>
      </c>
      <c r="B61" s="331"/>
      <c r="C61" s="331">
        <f>inputOth!B82</f>
        <v>0</v>
      </c>
      <c r="D61" s="331">
        <f>inputPrYr!D43</f>
        <v>0</v>
      </c>
      <c r="E61" s="394">
        <f>IF(E60&lt;0,"Budget Violation","")</f>
      </c>
    </row>
    <row r="62" spans="1:5" ht="15.75">
      <c r="A62" s="23" t="str">
        <f>CONCATENATE("Violation of Budget Law for ",E1-2,"/",E1-1,":")</f>
        <v>Violation of Budget Law for 2008/2009:</v>
      </c>
      <c r="B62" s="332"/>
      <c r="C62" s="332" t="str">
        <f>IF(C59&gt;C61,"Yes","No")</f>
        <v>No</v>
      </c>
      <c r="D62" s="332" t="str">
        <f>IF(D59&gt;D61,"Yes","No")</f>
        <v>No</v>
      </c>
      <c r="E62" s="21"/>
    </row>
    <row r="63" spans="1:5" ht="15.75">
      <c r="A63" s="23" t="str">
        <f>CONCATENATE("Possible Cash Violation for ",E1-2,":")</f>
        <v>Possible Cash Violation for 2008:</v>
      </c>
      <c r="B63" s="332"/>
      <c r="C63" s="332" t="str">
        <f>IF(C60&lt;0,"Yes","No")</f>
        <v>No</v>
      </c>
      <c r="D63" s="332"/>
      <c r="E63" s="21"/>
    </row>
    <row r="64" spans="1:5" ht="15.75">
      <c r="A64" s="21"/>
      <c r="B64" s="21"/>
      <c r="C64" s="21"/>
      <c r="D64" s="21"/>
      <c r="E64" s="21"/>
    </row>
    <row r="65" spans="1:5" ht="15.75">
      <c r="A65" s="24"/>
      <c r="B65" s="24" t="s">
        <v>175</v>
      </c>
      <c r="C65" s="100"/>
      <c r="D65" s="21"/>
      <c r="E65" s="21"/>
    </row>
  </sheetData>
  <sheetProtection sheet="1" objects="1" scenarios="1"/>
  <conditionalFormatting sqref="C13">
    <cfRule type="cellIs" priority="1" dxfId="245" operator="greaterThan" stopIfTrue="1">
      <formula>$C$15*0.1</formula>
    </cfRule>
  </conditionalFormatting>
  <conditionalFormatting sqref="D13">
    <cfRule type="cellIs" priority="2" dxfId="245" operator="greaterThan" stopIfTrue="1">
      <formula>$D$15*0.1</formula>
    </cfRule>
  </conditionalFormatting>
  <conditionalFormatting sqref="E13">
    <cfRule type="cellIs" priority="3" dxfId="245" operator="greaterThan" stopIfTrue="1">
      <formula>$E$15*0.1</formula>
    </cfRule>
  </conditionalFormatting>
  <conditionalFormatting sqref="C26">
    <cfRule type="cellIs" priority="4" dxfId="245" operator="greaterThan" stopIfTrue="1">
      <formula>$C$28*0.1</formula>
    </cfRule>
  </conditionalFormatting>
  <conditionalFormatting sqref="D26">
    <cfRule type="cellIs" priority="5" dxfId="245" operator="greaterThan" stopIfTrue="1">
      <formula>$D$28*0.1</formula>
    </cfRule>
  </conditionalFormatting>
  <conditionalFormatting sqref="E26">
    <cfRule type="cellIs" priority="6" dxfId="245" operator="greaterThan" stopIfTrue="1">
      <formula>$E$28*0.1</formula>
    </cfRule>
  </conditionalFormatting>
  <conditionalFormatting sqref="C44">
    <cfRule type="cellIs" priority="7" dxfId="245" operator="greaterThan" stopIfTrue="1">
      <formula>$C$46*0.1</formula>
    </cfRule>
  </conditionalFormatting>
  <conditionalFormatting sqref="D44">
    <cfRule type="cellIs" priority="8" dxfId="245" operator="greaterThan" stopIfTrue="1">
      <formula>$D$46*0.1</formula>
    </cfRule>
  </conditionalFormatting>
  <conditionalFormatting sqref="E44">
    <cfRule type="cellIs" priority="9" dxfId="245" operator="greaterThan" stopIfTrue="1">
      <formula>$E$46*0.1</formula>
    </cfRule>
  </conditionalFormatting>
  <conditionalFormatting sqref="C57">
    <cfRule type="cellIs" priority="10" dxfId="245" operator="greaterThan" stopIfTrue="1">
      <formula>$C$59*0.1</formula>
    </cfRule>
  </conditionalFormatting>
  <conditionalFormatting sqref="D57">
    <cfRule type="cellIs" priority="11" dxfId="245" operator="greaterThan" stopIfTrue="1">
      <formula>$D$59*0.1</formula>
    </cfRule>
  </conditionalFormatting>
  <conditionalFormatting sqref="E57">
    <cfRule type="cellIs" priority="12" dxfId="245" operator="greaterThan" stopIfTrue="1">
      <formula>$E$59*0.1</formula>
    </cfRule>
  </conditionalFormatting>
  <conditionalFormatting sqref="C59:D59">
    <cfRule type="cellIs" priority="13" dxfId="0" operator="greaterThan" stopIfTrue="1">
      <formula>$D$61</formula>
    </cfRule>
  </conditionalFormatting>
  <conditionalFormatting sqref="C60 E60 C29 E29">
    <cfRule type="cellIs" priority="14" dxfId="0" operator="lessThan" stopIfTrue="1">
      <formula>0</formula>
    </cfRule>
  </conditionalFormatting>
  <conditionalFormatting sqref="D28">
    <cfRule type="cellIs" priority="15" dxfId="0" operator="greaterThan" stopIfTrue="1">
      <formula>$D$30</formula>
    </cfRule>
  </conditionalFormatting>
  <conditionalFormatting sqref="C28">
    <cfRule type="cellIs" priority="16" dxfId="0" operator="greaterThan" stopIfTrue="1">
      <formula>$C$30</formula>
    </cfRule>
  </conditionalFormatting>
  <printOptions/>
  <pageMargins left="0.5" right="0.5" top="1" bottom="0.5" header="0.5" footer="0.5"/>
  <pageSetup blackAndWhite="1" fitToHeight="1" fitToWidth="1" horizontalDpi="120" verticalDpi="120" orientation="portrait" r:id="rId1"/>
  <headerFooter alignWithMargins="0">
    <oddHeader>&amp;RState of Kansas
City</oddHeader>
    <oddFooter>&amp;Lrevised 8/21/08</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E53"/>
  <sheetViews>
    <sheetView zoomScale="54" zoomScaleNormal="54" zoomScalePageLayoutView="0" workbookViewId="0" topLeftCell="A1">
      <selection activeCell="C2" sqref="C2"/>
    </sheetView>
  </sheetViews>
  <sheetFormatPr defaultColWidth="8.796875" defaultRowHeight="15"/>
  <cols>
    <col min="1" max="1" width="27.8984375" style="0" customWidth="1"/>
    <col min="2" max="2" width="9.59765625" style="0" customWidth="1"/>
    <col min="3" max="4" width="15.796875" style="362" customWidth="1"/>
    <col min="5" max="5" width="16.59765625" style="0" customWidth="1"/>
  </cols>
  <sheetData>
    <row r="1" spans="1:5" ht="15.75">
      <c r="A1" s="72" t="str">
        <f>(inputPrYr!D2)</f>
        <v>CITY OF PARK CITY</v>
      </c>
      <c r="B1" s="72"/>
      <c r="C1" s="380"/>
      <c r="D1" s="380"/>
      <c r="E1" s="144">
        <f>inputPrYr!$C$5</f>
        <v>2010</v>
      </c>
    </row>
    <row r="2" spans="1:5" ht="15.75">
      <c r="A2" s="21"/>
      <c r="B2" s="21"/>
      <c r="C2" s="380"/>
      <c r="D2" s="380"/>
      <c r="E2" s="24"/>
    </row>
    <row r="3" spans="1:5" ht="15.75">
      <c r="A3" s="90" t="s">
        <v>234</v>
      </c>
      <c r="B3" s="90"/>
      <c r="C3" s="381"/>
      <c r="D3" s="381"/>
      <c r="E3" s="197"/>
    </row>
    <row r="4" spans="1:5" ht="15.75">
      <c r="A4" s="25" t="s">
        <v>156</v>
      </c>
      <c r="B4" s="25"/>
      <c r="C4" s="370" t="s">
        <v>180</v>
      </c>
      <c r="D4" s="371" t="s">
        <v>317</v>
      </c>
      <c r="E4" s="33" t="s">
        <v>318</v>
      </c>
    </row>
    <row r="5" spans="1:5" ht="15.75">
      <c r="A5" s="138">
        <f>(inputPrYr!B48)</f>
        <v>0</v>
      </c>
      <c r="B5" s="138"/>
      <c r="C5" s="199">
        <f>E1-2</f>
        <v>2008</v>
      </c>
      <c r="D5" s="199">
        <f>E1-1</f>
        <v>2009</v>
      </c>
      <c r="E5" s="148">
        <f>inputPrYr!$C$5</f>
        <v>2010</v>
      </c>
    </row>
    <row r="6" spans="1:5" ht="15.75">
      <c r="A6" s="37" t="s">
        <v>289</v>
      </c>
      <c r="B6" s="304"/>
      <c r="C6" s="372"/>
      <c r="D6" s="373">
        <f>C48</f>
        <v>0</v>
      </c>
      <c r="E6" s="85">
        <f>D48</f>
        <v>0</v>
      </c>
    </row>
    <row r="7" spans="1:5" ht="15.75">
      <c r="A7" s="303" t="s">
        <v>291</v>
      </c>
      <c r="B7" s="304"/>
      <c r="C7" s="374"/>
      <c r="D7" s="374"/>
      <c r="E7" s="40"/>
    </row>
    <row r="8" spans="1:5" ht="15.75">
      <c r="A8" s="296"/>
      <c r="B8" s="305"/>
      <c r="C8" s="372"/>
      <c r="D8" s="372"/>
      <c r="E8" s="13"/>
    </row>
    <row r="9" spans="1:5" ht="15.75">
      <c r="A9" s="296"/>
      <c r="B9" s="305"/>
      <c r="C9" s="372"/>
      <c r="D9" s="372"/>
      <c r="E9" s="13"/>
    </row>
    <row r="10" spans="1:5" ht="15.75">
      <c r="A10" s="296"/>
      <c r="B10" s="305"/>
      <c r="C10" s="372"/>
      <c r="D10" s="372"/>
      <c r="E10" s="13"/>
    </row>
    <row r="11" spans="1:5" ht="15.75">
      <c r="A11" s="296"/>
      <c r="B11" s="305"/>
      <c r="C11" s="372"/>
      <c r="D11" s="372"/>
      <c r="E11" s="13"/>
    </row>
    <row r="12" spans="1:5" ht="15.75">
      <c r="A12" s="296"/>
      <c r="B12" s="305"/>
      <c r="C12" s="372"/>
      <c r="D12" s="372"/>
      <c r="E12" s="13"/>
    </row>
    <row r="13" spans="1:5" ht="15.75">
      <c r="A13" s="296"/>
      <c r="B13" s="305"/>
      <c r="C13" s="372"/>
      <c r="D13" s="372"/>
      <c r="E13" s="13"/>
    </row>
    <row r="14" spans="1:5" ht="15.75">
      <c r="A14" s="297"/>
      <c r="B14" s="305"/>
      <c r="C14" s="372"/>
      <c r="D14" s="372"/>
      <c r="E14" s="18"/>
    </row>
    <row r="15" spans="1:5" ht="15.75">
      <c r="A15" s="296"/>
      <c r="B15" s="305"/>
      <c r="C15" s="372"/>
      <c r="D15" s="372"/>
      <c r="E15" s="13"/>
    </row>
    <row r="16" spans="1:5" ht="15.75">
      <c r="A16" s="298" t="s">
        <v>164</v>
      </c>
      <c r="B16" s="305"/>
      <c r="C16" s="372"/>
      <c r="D16" s="372"/>
      <c r="E16" s="13"/>
    </row>
    <row r="17" spans="1:5" ht="15.75">
      <c r="A17" s="316" t="s">
        <v>26</v>
      </c>
      <c r="B17" s="312"/>
      <c r="C17" s="372"/>
      <c r="D17" s="372"/>
      <c r="E17" s="13"/>
    </row>
    <row r="18" spans="1:5" ht="15.75">
      <c r="A18" s="306" t="s">
        <v>28</v>
      </c>
      <c r="B18" s="312"/>
      <c r="C18" s="376">
        <f>IF(C19*0.1&lt;C17,"Exceed 10% Rule","")</f>
      </c>
      <c r="D18" s="376">
        <f>IF(D19*0.1&lt;D17,"Exceed 10% Rule","")</f>
      </c>
      <c r="E18" s="348">
        <f>IF(E19*0.1&lt;E17,"Exceed 10% Rule","")</f>
      </c>
    </row>
    <row r="19" spans="1:5" ht="15.75">
      <c r="A19" s="153" t="s">
        <v>165</v>
      </c>
      <c r="B19" s="304"/>
      <c r="C19" s="377">
        <f>SUM(C8:C17)</f>
        <v>0</v>
      </c>
      <c r="D19" s="377">
        <f>SUM(D8:D17)</f>
        <v>0</v>
      </c>
      <c r="E19" s="260">
        <f>SUM(E8:E17)</f>
        <v>0</v>
      </c>
    </row>
    <row r="20" spans="1:5" ht="15.75">
      <c r="A20" s="153" t="s">
        <v>166</v>
      </c>
      <c r="B20" s="304"/>
      <c r="C20" s="378">
        <f>C6+C19</f>
        <v>0</v>
      </c>
      <c r="D20" s="378">
        <f>D6+D19</f>
        <v>0</v>
      </c>
      <c r="E20" s="263">
        <f>E6+E19</f>
        <v>0</v>
      </c>
    </row>
    <row r="21" spans="1:5" ht="15.75">
      <c r="A21" s="37" t="s">
        <v>168</v>
      </c>
      <c r="B21" s="304"/>
      <c r="C21" s="374"/>
      <c r="D21" s="374"/>
      <c r="E21" s="40"/>
    </row>
    <row r="22" spans="1:5" ht="15.75">
      <c r="A22" s="296" t="s">
        <v>348</v>
      </c>
      <c r="B22" s="305"/>
      <c r="C22" s="372"/>
      <c r="D22" s="372"/>
      <c r="E22" s="13"/>
    </row>
    <row r="23" spans="1:5" ht="15.75">
      <c r="A23" s="296" t="s">
        <v>50</v>
      </c>
      <c r="B23" s="305"/>
      <c r="C23" s="372"/>
      <c r="D23" s="372"/>
      <c r="E23" s="13"/>
    </row>
    <row r="24" spans="1:5" ht="15.75">
      <c r="A24" s="296"/>
      <c r="B24" s="305"/>
      <c r="C24" s="372"/>
      <c r="D24" s="372"/>
      <c r="E24" s="18"/>
    </row>
    <row r="25" spans="1:5" ht="15.75">
      <c r="A25" s="296"/>
      <c r="B25" s="305"/>
      <c r="C25" s="372"/>
      <c r="D25" s="372"/>
      <c r="E25" s="18"/>
    </row>
    <row r="26" spans="1:5" ht="15.75">
      <c r="A26" s="296"/>
      <c r="B26" s="305"/>
      <c r="C26" s="372"/>
      <c r="D26" s="372"/>
      <c r="E26" s="18"/>
    </row>
    <row r="27" spans="1:5" ht="15.75">
      <c r="A27" s="296"/>
      <c r="B27" s="305"/>
      <c r="C27" s="372"/>
      <c r="D27" s="372"/>
      <c r="E27" s="18"/>
    </row>
    <row r="28" spans="1:5" ht="15.75">
      <c r="A28" s="296"/>
      <c r="B28" s="305"/>
      <c r="C28" s="372"/>
      <c r="D28" s="372"/>
      <c r="E28" s="18"/>
    </row>
    <row r="29" spans="1:5" ht="15.75">
      <c r="A29" s="296"/>
      <c r="B29" s="305"/>
      <c r="C29" s="372"/>
      <c r="D29" s="372"/>
      <c r="E29" s="18"/>
    </row>
    <row r="30" spans="1:5" ht="15.75">
      <c r="A30" s="296"/>
      <c r="B30" s="305"/>
      <c r="C30" s="372"/>
      <c r="D30" s="372"/>
      <c r="E30" s="18"/>
    </row>
    <row r="31" spans="1:5" ht="15.75">
      <c r="A31" s="296"/>
      <c r="B31" s="305"/>
      <c r="C31" s="372"/>
      <c r="D31" s="372"/>
      <c r="E31" s="18"/>
    </row>
    <row r="32" spans="1:5" ht="15.75">
      <c r="A32" s="296"/>
      <c r="B32" s="305"/>
      <c r="C32" s="372"/>
      <c r="D32" s="372"/>
      <c r="E32" s="18"/>
    </row>
    <row r="33" spans="1:5" ht="15.75">
      <c r="A33" s="296"/>
      <c r="B33" s="305"/>
      <c r="C33" s="372"/>
      <c r="D33" s="372"/>
      <c r="E33" s="18"/>
    </row>
    <row r="34" spans="1:5" ht="15.75">
      <c r="A34" s="296"/>
      <c r="B34" s="305"/>
      <c r="C34" s="372"/>
      <c r="D34" s="372"/>
      <c r="E34" s="18"/>
    </row>
    <row r="35" spans="1:5" ht="15.75">
      <c r="A35" s="296"/>
      <c r="B35" s="305"/>
      <c r="C35" s="372"/>
      <c r="D35" s="372"/>
      <c r="E35" s="13"/>
    </row>
    <row r="36" spans="1:5" ht="15.75">
      <c r="A36" s="296"/>
      <c r="B36" s="305"/>
      <c r="C36" s="372"/>
      <c r="D36" s="372"/>
      <c r="E36" s="13"/>
    </row>
    <row r="37" spans="1:5" ht="15.75">
      <c r="A37" s="296"/>
      <c r="B37" s="305"/>
      <c r="C37" s="372"/>
      <c r="D37" s="372"/>
      <c r="E37" s="13"/>
    </row>
    <row r="38" spans="1:5" ht="15.75">
      <c r="A38" s="296"/>
      <c r="B38" s="305"/>
      <c r="C38" s="372"/>
      <c r="D38" s="372"/>
      <c r="E38" s="13"/>
    </row>
    <row r="39" spans="1:5" ht="15.75">
      <c r="A39" s="296"/>
      <c r="B39" s="305"/>
      <c r="C39" s="372"/>
      <c r="D39" s="372"/>
      <c r="E39" s="13"/>
    </row>
    <row r="40" spans="1:5" ht="15.75">
      <c r="A40" s="296"/>
      <c r="B40" s="305"/>
      <c r="C40" s="372"/>
      <c r="D40" s="372"/>
      <c r="E40" s="13"/>
    </row>
    <row r="41" spans="1:5" ht="15.75">
      <c r="A41" s="296"/>
      <c r="B41" s="305"/>
      <c r="C41" s="372"/>
      <c r="D41" s="372"/>
      <c r="E41" s="13"/>
    </row>
    <row r="42" spans="1:5" ht="15.75">
      <c r="A42" s="296"/>
      <c r="B42" s="305"/>
      <c r="C42" s="372"/>
      <c r="D42" s="372"/>
      <c r="E42" s="13"/>
    </row>
    <row r="43" spans="1:5" ht="15.75">
      <c r="A43" s="296"/>
      <c r="B43" s="305"/>
      <c r="C43" s="372"/>
      <c r="D43" s="372"/>
      <c r="E43" s="13"/>
    </row>
    <row r="44" spans="1:5" ht="15.75">
      <c r="A44" s="296"/>
      <c r="B44" s="313"/>
      <c r="C44" s="372"/>
      <c r="D44" s="372"/>
      <c r="E44" s="13"/>
    </row>
    <row r="45" spans="1:5" ht="15.75">
      <c r="A45" s="314" t="s">
        <v>26</v>
      </c>
      <c r="B45" s="312"/>
      <c r="C45" s="372"/>
      <c r="D45" s="372"/>
      <c r="E45" s="13"/>
    </row>
    <row r="46" spans="1:5" ht="15.75">
      <c r="A46" s="314" t="s">
        <v>27</v>
      </c>
      <c r="B46" s="312"/>
      <c r="C46" s="376">
        <f>IF(C47*0.1&lt;C45,"Exceed 10% Rule","")</f>
      </c>
      <c r="D46" s="376">
        <f>IF(D47*0.1&lt;D45,"Exceed 10% Rule","")</f>
      </c>
      <c r="E46" s="382">
        <f>IF(E47*0.1&lt;E45,"Exceed 10% Rule","")</f>
      </c>
    </row>
    <row r="47" spans="1:5" ht="15.75">
      <c r="A47" s="153" t="s">
        <v>172</v>
      </c>
      <c r="B47" s="304"/>
      <c r="C47" s="377">
        <f>SUM(C22:C45)</f>
        <v>0</v>
      </c>
      <c r="D47" s="377">
        <f>SUM(D22:D45)</f>
        <v>0</v>
      </c>
      <c r="E47" s="260">
        <f>SUM(E22:E45)</f>
        <v>0</v>
      </c>
    </row>
    <row r="48" spans="1:5" ht="15.75">
      <c r="A48" s="37" t="s">
        <v>290</v>
      </c>
      <c r="B48" s="304"/>
      <c r="C48" s="375">
        <f>C20-C47</f>
        <v>0</v>
      </c>
      <c r="D48" s="375">
        <f>D20-D47</f>
        <v>0</v>
      </c>
      <c r="E48" s="262">
        <f>E20-E47</f>
        <v>0</v>
      </c>
    </row>
    <row r="49" spans="1:5" ht="15.75">
      <c r="A49" s="23" t="str">
        <f>CONCATENATE("",E1-2,"/",E1-1," Budget Authority Amount:")</f>
        <v>2008/2009 Budget Authority Amount:</v>
      </c>
      <c r="B49" s="331"/>
      <c r="C49" s="331">
        <f>inputOth!B86</f>
        <v>0</v>
      </c>
      <c r="D49" s="331">
        <f>inputPrYr!D48</f>
        <v>0</v>
      </c>
      <c r="E49" s="392">
        <f>IF(E48&lt;0,"Budget Violation","")</f>
      </c>
    </row>
    <row r="50" spans="1:5" ht="15.75">
      <c r="A50" s="23" t="str">
        <f>CONCATENATE("Violation of Budget Law for ",E1-2,"/",E1-1,":")</f>
        <v>Violation of Budget Law for 2008/2009:</v>
      </c>
      <c r="B50" s="332"/>
      <c r="C50" s="332" t="str">
        <f>IF(C47&gt;C49,"Yes","No")</f>
        <v>No</v>
      </c>
      <c r="D50" s="332" t="str">
        <f>IF(D47&gt;D49,"Yes","No")</f>
        <v>No</v>
      </c>
      <c r="E50" s="170"/>
    </row>
    <row r="51" spans="1:5" ht="15.75">
      <c r="A51" s="23" t="str">
        <f>CONCATENATE("Possible Cash Violation for ",E1-2,":")</f>
        <v>Possible Cash Violation for 2008:</v>
      </c>
      <c r="B51" s="332"/>
      <c r="C51" s="332" t="str">
        <f>IF(C48&lt;0,"Yes","No")</f>
        <v>No</v>
      </c>
      <c r="D51" s="332"/>
      <c r="E51" s="170"/>
    </row>
    <row r="52" spans="1:5" ht="15">
      <c r="A52" s="170"/>
      <c r="B52" s="170"/>
      <c r="C52" s="379"/>
      <c r="D52" s="379"/>
      <c r="E52" s="170"/>
    </row>
    <row r="53" spans="1:5" ht="15.75">
      <c r="A53" s="24"/>
      <c r="B53" s="24" t="s">
        <v>175</v>
      </c>
      <c r="C53" s="100"/>
      <c r="D53" s="379"/>
      <c r="E53" s="170"/>
    </row>
  </sheetData>
  <sheetProtection sheet="1" objects="1" scenarios="1"/>
  <conditionalFormatting sqref="E17">
    <cfRule type="cellIs" priority="1" dxfId="245" operator="greaterThan" stopIfTrue="1">
      <formula>$E$19*0.1</formula>
    </cfRule>
  </conditionalFormatting>
  <conditionalFormatting sqref="E45">
    <cfRule type="cellIs" priority="2" dxfId="245" operator="greaterThan" stopIfTrue="1">
      <formula>$E$47*0.1</formula>
    </cfRule>
  </conditionalFormatting>
  <conditionalFormatting sqref="E48 C48">
    <cfRule type="cellIs" priority="3" dxfId="0" operator="lessThan" stopIfTrue="1">
      <formula>0</formula>
    </cfRule>
  </conditionalFormatting>
  <conditionalFormatting sqref="D45">
    <cfRule type="cellIs" priority="4" dxfId="0" operator="greaterThan" stopIfTrue="1">
      <formula>$D$47*0.1</formula>
    </cfRule>
  </conditionalFormatting>
  <conditionalFormatting sqref="C45">
    <cfRule type="cellIs" priority="5" dxfId="0" operator="greaterThan" stopIfTrue="1">
      <formula>$C$47*0.1</formula>
    </cfRule>
  </conditionalFormatting>
  <conditionalFormatting sqref="D47">
    <cfRule type="cellIs" priority="6" dxfId="0" operator="greaterThan" stopIfTrue="1">
      <formula>$D$49</formula>
    </cfRule>
  </conditionalFormatting>
  <conditionalFormatting sqref="C47">
    <cfRule type="cellIs" priority="7" dxfId="0" operator="greaterThan" stopIfTrue="1">
      <formula>$C$49</formula>
    </cfRule>
  </conditionalFormatting>
  <printOptions/>
  <pageMargins left="0.75" right="0.75" top="1" bottom="1" header="0.5" footer="0.5"/>
  <pageSetup blackAndWhite="1" fitToHeight="1" fitToWidth="1" horizontalDpi="600" verticalDpi="600" orientation="portrait" r:id="rId1"/>
  <headerFooter alignWithMargins="0">
    <oddHeader>&amp;RState of Kansas
City</oddHeader>
    <oddFooter>&amp;Lrevised 8/21/08</oddFooter>
  </headerFooter>
</worksheet>
</file>

<file path=xl/worksheets/sheet34.xml><?xml version="1.0" encoding="utf-8"?>
<worksheet xmlns="http://schemas.openxmlformats.org/spreadsheetml/2006/main" xmlns:r="http://schemas.openxmlformats.org/officeDocument/2006/relationships">
  <dimension ref="A1:N40"/>
  <sheetViews>
    <sheetView zoomScalePageLayoutView="0" workbookViewId="0" topLeftCell="A1">
      <selection activeCell="A2" sqref="A2:G2"/>
    </sheetView>
  </sheetViews>
  <sheetFormatPr defaultColWidth="8.796875" defaultRowHeight="15"/>
  <cols>
    <col min="1" max="16384" width="8.8984375" style="2" customWidth="1"/>
  </cols>
  <sheetData>
    <row r="1" spans="1:7" ht="16.5" customHeight="1">
      <c r="A1" s="513" t="s">
        <v>300</v>
      </c>
      <c r="B1" s="513"/>
      <c r="C1" s="513"/>
      <c r="D1" s="513"/>
      <c r="E1" s="513"/>
      <c r="F1" s="513"/>
      <c r="G1" s="513"/>
    </row>
    <row r="2" spans="1:7" ht="16.5" customHeight="1">
      <c r="A2" s="513"/>
      <c r="B2" s="513"/>
      <c r="C2" s="513"/>
      <c r="D2" s="513"/>
      <c r="E2" s="513"/>
      <c r="F2" s="513"/>
      <c r="G2" s="513"/>
    </row>
    <row r="3" spans="1:7" ht="16.5" customHeight="1">
      <c r="A3" s="514"/>
      <c r="B3" s="514"/>
      <c r="C3" s="514"/>
      <c r="D3" s="514"/>
      <c r="E3" s="514"/>
      <c r="F3" s="514"/>
      <c r="G3" s="514"/>
    </row>
    <row r="4" spans="1:7" ht="16.5" customHeight="1">
      <c r="A4" s="511" t="str">
        <f>CONCATENATE("AN ORDINANCE ATTESTING TO AN INCREASE IN TAX REVENUES FOR BUDGET YEAR ",inputPrYr!C5," FOR THE ",(inputPrYr!$D$2))</f>
        <v>AN ORDINANCE ATTESTING TO AN INCREASE IN TAX REVENUES FOR BUDGET YEAR 2010 FOR THE CITY OF PARK CITY</v>
      </c>
      <c r="B4" s="511"/>
      <c r="C4" s="511"/>
      <c r="D4" s="511"/>
      <c r="E4" s="511"/>
      <c r="F4" s="511"/>
      <c r="G4" s="511"/>
    </row>
    <row r="5" spans="1:7" ht="16.5" customHeight="1">
      <c r="A5" s="511"/>
      <c r="B5" s="511"/>
      <c r="C5" s="511"/>
      <c r="D5" s="511"/>
      <c r="E5" s="511"/>
      <c r="F5" s="511"/>
      <c r="G5" s="511"/>
    </row>
    <row r="6" spans="1:7" ht="16.5" customHeight="1">
      <c r="A6" s="513"/>
      <c r="B6" s="513"/>
      <c r="C6" s="513"/>
      <c r="D6" s="513"/>
      <c r="E6" s="513"/>
      <c r="F6" s="513"/>
      <c r="G6" s="513"/>
    </row>
    <row r="7" spans="1:14" ht="16.5" customHeight="1">
      <c r="A7" s="511" t="str">
        <f>CONCATENATE("WHEREAS, the ",(inputPrYr!$D$2)," must continue to provide services to protect the health, safety, and welfare of the citizens of this community; and")</f>
        <v>WHEREAS, the CITY OF PARK CITY must continue to provide services to protect the health, safety, and welfare of the citizens of this community; and</v>
      </c>
      <c r="B7" s="511"/>
      <c r="C7" s="511"/>
      <c r="D7" s="511"/>
      <c r="E7" s="511"/>
      <c r="F7" s="511"/>
      <c r="G7" s="511"/>
      <c r="H7" s="232"/>
      <c r="I7" s="232"/>
      <c r="J7" s="232"/>
      <c r="K7" s="232"/>
      <c r="L7" s="232"/>
      <c r="M7" s="232"/>
      <c r="N7" s="232"/>
    </row>
    <row r="8" spans="1:14" ht="16.5" customHeight="1">
      <c r="A8" s="511"/>
      <c r="B8" s="511"/>
      <c r="C8" s="511"/>
      <c r="D8" s="511"/>
      <c r="E8" s="511"/>
      <c r="F8" s="511"/>
      <c r="G8" s="511"/>
      <c r="H8" s="232"/>
      <c r="I8" s="232"/>
      <c r="J8" s="232"/>
      <c r="K8" s="232"/>
      <c r="L8" s="232"/>
      <c r="M8" s="232"/>
      <c r="N8" s="232"/>
    </row>
    <row r="9" spans="1:7" ht="16.5" customHeight="1">
      <c r="A9" s="233"/>
      <c r="B9" s="233"/>
      <c r="C9" s="233"/>
      <c r="D9" s="233"/>
      <c r="E9" s="233"/>
      <c r="F9" s="233"/>
      <c r="G9" s="233"/>
    </row>
    <row r="10" spans="1:7" ht="16.5" customHeight="1">
      <c r="A10" s="511" t="s">
        <v>301</v>
      </c>
      <c r="B10" s="511"/>
      <c r="C10" s="511"/>
      <c r="D10" s="511"/>
      <c r="E10" s="511"/>
      <c r="F10" s="511"/>
      <c r="G10" s="511"/>
    </row>
    <row r="11" spans="1:7" ht="16.5" customHeight="1">
      <c r="A11" s="511"/>
      <c r="B11" s="511"/>
      <c r="C11" s="511"/>
      <c r="D11" s="511"/>
      <c r="E11" s="511"/>
      <c r="F11" s="511"/>
      <c r="G11" s="511"/>
    </row>
    <row r="12" spans="1:7" ht="16.5" customHeight="1">
      <c r="A12" s="233"/>
      <c r="B12" s="233"/>
      <c r="C12" s="233"/>
      <c r="D12" s="233"/>
      <c r="E12" s="233"/>
      <c r="F12" s="233"/>
      <c r="G12" s="233"/>
    </row>
    <row r="13" spans="1:14" ht="16.5" customHeight="1">
      <c r="A13" s="511" t="str">
        <f>CONCATENATE("NOW THEREFORE, be it ordained by the Governing Body of the ",(inputPrYr!$D$2),":")</f>
        <v>NOW THEREFORE, be it ordained by the Governing Body of the CITY OF PARK CITY:</v>
      </c>
      <c r="B13" s="511"/>
      <c r="C13" s="511"/>
      <c r="D13" s="511"/>
      <c r="E13" s="511"/>
      <c r="F13" s="511"/>
      <c r="G13" s="511"/>
      <c r="H13" s="232"/>
      <c r="I13" s="232"/>
      <c r="J13" s="232"/>
      <c r="K13" s="232"/>
      <c r="L13" s="232"/>
      <c r="M13" s="232"/>
      <c r="N13" s="232"/>
    </row>
    <row r="14" spans="1:14" ht="16.5" customHeight="1">
      <c r="A14" s="511"/>
      <c r="B14" s="511"/>
      <c r="C14" s="511"/>
      <c r="D14" s="511"/>
      <c r="E14" s="511"/>
      <c r="F14" s="511"/>
      <c r="G14" s="511"/>
      <c r="H14" s="232"/>
      <c r="I14" s="232"/>
      <c r="J14" s="232"/>
      <c r="K14" s="232"/>
      <c r="L14" s="232"/>
      <c r="M14" s="232"/>
      <c r="N14" s="232"/>
    </row>
    <row r="15" spans="1:14" ht="16.5" customHeight="1">
      <c r="A15" s="511"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PARK CITY  has scheduled a public hearing and has prepared the proposed budget necessary to fund city services from January 1, 2010 until December 31, 2010.</v>
      </c>
      <c r="B15" s="511"/>
      <c r="C15" s="511"/>
      <c r="D15" s="511"/>
      <c r="E15" s="511"/>
      <c r="F15" s="511"/>
      <c r="G15" s="511"/>
      <c r="H15" s="232"/>
      <c r="I15" s="232"/>
      <c r="J15" s="232"/>
      <c r="K15" s="232"/>
      <c r="L15" s="232"/>
      <c r="M15" s="232"/>
      <c r="N15" s="232"/>
    </row>
    <row r="16" spans="1:14" ht="16.5" customHeight="1">
      <c r="A16" s="511"/>
      <c r="B16" s="511"/>
      <c r="C16" s="511"/>
      <c r="D16" s="511"/>
      <c r="E16" s="511"/>
      <c r="F16" s="511"/>
      <c r="G16" s="511"/>
      <c r="H16" s="232"/>
      <c r="I16" s="232"/>
      <c r="J16" s="232"/>
      <c r="K16" s="232"/>
      <c r="L16" s="232"/>
      <c r="M16" s="232"/>
      <c r="N16" s="232"/>
    </row>
    <row r="17" spans="1:14" ht="16.5" customHeight="1">
      <c r="A17" s="511"/>
      <c r="B17" s="511"/>
      <c r="C17" s="511"/>
      <c r="D17" s="511"/>
      <c r="E17" s="511"/>
      <c r="F17" s="511"/>
      <c r="G17" s="511"/>
      <c r="H17" s="232"/>
      <c r="I17" s="232"/>
      <c r="J17" s="232"/>
      <c r="K17" s="232"/>
      <c r="L17" s="232"/>
      <c r="M17" s="232"/>
      <c r="N17" s="232"/>
    </row>
    <row r="18" spans="1:7" ht="16.5" customHeight="1">
      <c r="A18" s="232"/>
      <c r="B18" s="232"/>
      <c r="C18" s="232"/>
      <c r="D18" s="232"/>
      <c r="E18" s="232"/>
      <c r="F18" s="232"/>
      <c r="G18" s="232"/>
    </row>
    <row r="19" spans="1:7" ht="16.5" customHeight="1">
      <c r="A19" s="512" t="s">
        <v>377</v>
      </c>
      <c r="B19" s="512"/>
      <c r="C19" s="512"/>
      <c r="D19" s="512"/>
      <c r="E19" s="512"/>
      <c r="F19" s="512"/>
      <c r="G19" s="512"/>
    </row>
    <row r="20" spans="1:7" ht="16.5" customHeight="1">
      <c r="A20" s="512" t="s">
        <v>378</v>
      </c>
      <c r="B20" s="512"/>
      <c r="C20" s="512"/>
      <c r="D20" s="512"/>
      <c r="E20" s="512"/>
      <c r="F20" s="512"/>
      <c r="G20" s="512"/>
    </row>
    <row r="21" spans="1:7" ht="16.5" customHeight="1">
      <c r="A21" s="512" t="str">
        <f>CONCATENATE("necessary to budget property tax revenues in an amount exceeding the levy in the ",inputPrYr!C5-1,"")</f>
        <v>necessary to budget property tax revenues in an amount exceeding the levy in the 2009</v>
      </c>
      <c r="B21" s="512"/>
      <c r="C21" s="512"/>
      <c r="D21" s="512"/>
      <c r="E21" s="512"/>
      <c r="F21" s="512"/>
      <c r="G21" s="512"/>
    </row>
    <row r="22" spans="1:7" ht="16.5" customHeight="1">
      <c r="A22" s="234" t="s">
        <v>379</v>
      </c>
      <c r="B22" s="234"/>
      <c r="C22" s="234"/>
      <c r="D22" s="234"/>
      <c r="E22" s="234"/>
      <c r="F22" s="234"/>
      <c r="G22" s="234"/>
    </row>
    <row r="23" spans="1:7" ht="16.5" customHeight="1">
      <c r="A23" s="232"/>
      <c r="B23" s="232"/>
      <c r="C23" s="232"/>
      <c r="D23" s="232"/>
      <c r="E23" s="232"/>
      <c r="F23" s="232"/>
      <c r="G23" s="232"/>
    </row>
    <row r="24" spans="1:7" ht="16.5" customHeight="1">
      <c r="A24" s="511" t="s">
        <v>302</v>
      </c>
      <c r="B24" s="511"/>
      <c r="C24" s="511"/>
      <c r="D24" s="511"/>
      <c r="E24" s="511"/>
      <c r="F24" s="511"/>
      <c r="G24" s="511"/>
    </row>
    <row r="25" spans="1:7" ht="16.5" customHeight="1">
      <c r="A25" s="511"/>
      <c r="B25" s="511"/>
      <c r="C25" s="511"/>
      <c r="D25" s="511"/>
      <c r="E25" s="511"/>
      <c r="F25" s="511"/>
      <c r="G25" s="511"/>
    </row>
    <row r="26" spans="1:7" ht="16.5" customHeight="1">
      <c r="A26" s="232"/>
      <c r="B26" s="232"/>
      <c r="C26" s="232"/>
      <c r="D26" s="232"/>
      <c r="E26" s="232"/>
      <c r="F26" s="232"/>
      <c r="G26" s="232"/>
    </row>
    <row r="27" spans="1:7" ht="16.5" customHeight="1">
      <c r="A27" s="511" t="str">
        <f>CONCATENATE("Passed and approved by the Governing Body on this ______ day of __________, ",inputPrYr!C5-1,".")</f>
        <v>Passed and approved by the Governing Body on this ______ day of __________, 2009.</v>
      </c>
      <c r="B27" s="511"/>
      <c r="C27" s="511"/>
      <c r="D27" s="511"/>
      <c r="E27" s="511"/>
      <c r="F27" s="511"/>
      <c r="G27" s="511"/>
    </row>
    <row r="28" spans="1:7" ht="16.5" customHeight="1">
      <c r="A28" s="511"/>
      <c r="B28" s="511"/>
      <c r="C28" s="511"/>
      <c r="D28" s="511"/>
      <c r="E28" s="511"/>
      <c r="F28" s="511"/>
      <c r="G28" s="511"/>
    </row>
    <row r="29" ht="16.5" customHeight="1"/>
    <row r="30" spans="1:7" ht="16.5" customHeight="1">
      <c r="A30" s="510" t="s">
        <v>303</v>
      </c>
      <c r="B30" s="510"/>
      <c r="C30" s="510"/>
      <c r="D30" s="510"/>
      <c r="E30" s="510"/>
      <c r="F30" s="510"/>
      <c r="G30" s="510"/>
    </row>
    <row r="31" spans="1:7" ht="16.5" customHeight="1">
      <c r="A31" s="510" t="s">
        <v>308</v>
      </c>
      <c r="B31" s="510"/>
      <c r="C31" s="510"/>
      <c r="D31" s="510"/>
      <c r="E31" s="510"/>
      <c r="F31" s="510"/>
      <c r="G31" s="510"/>
    </row>
    <row r="32" ht="16.5" customHeight="1">
      <c r="A32" s="2" t="s">
        <v>304</v>
      </c>
    </row>
    <row r="33" ht="16.5" customHeight="1">
      <c r="B33" s="2" t="s">
        <v>305</v>
      </c>
    </row>
    <row r="34" ht="16.5" customHeight="1"/>
    <row r="35" ht="16.5" customHeight="1"/>
    <row r="36" ht="16.5" customHeight="1">
      <c r="A36" s="2" t="s">
        <v>306</v>
      </c>
    </row>
    <row r="37" ht="16.5" customHeight="1"/>
    <row r="38" ht="16.5" customHeight="1"/>
    <row r="39" ht="16.5" customHeight="1"/>
    <row r="40" ht="16.5" customHeight="1">
      <c r="A40" s="2" t="s">
        <v>307</v>
      </c>
    </row>
  </sheetData>
  <sheetProtection sheet="1" objects="1" scenarios="1"/>
  <mergeCells count="16">
    <mergeCell ref="A1:G1"/>
    <mergeCell ref="A2:G2"/>
    <mergeCell ref="A3:G3"/>
    <mergeCell ref="A7:G8"/>
    <mergeCell ref="A4:G5"/>
    <mergeCell ref="A6:G6"/>
    <mergeCell ref="A30:G30"/>
    <mergeCell ref="A31:G31"/>
    <mergeCell ref="A27:G28"/>
    <mergeCell ref="A10:G11"/>
    <mergeCell ref="A13:G14"/>
    <mergeCell ref="A24:G25"/>
    <mergeCell ref="A15:G17"/>
    <mergeCell ref="A19:G19"/>
    <mergeCell ref="A20:G20"/>
    <mergeCell ref="A21:G21"/>
  </mergeCells>
  <printOptions/>
  <pageMargins left="1" right="1" top="1" bottom="1" header="0.5" footer="0.5"/>
  <pageSetup blackAndWhite="1" horizontalDpi="600" verticalDpi="600" orientation="portrait" r:id="rId1"/>
  <headerFooter alignWithMargins="0">
    <oddFooter>&amp;Lrevised 8/06/07</oddFooter>
  </headerFooter>
</worksheet>
</file>

<file path=xl/worksheets/sheet35.xml><?xml version="1.0" encoding="utf-8"?>
<worksheet xmlns="http://schemas.openxmlformats.org/spreadsheetml/2006/main" xmlns:r="http://schemas.openxmlformats.org/officeDocument/2006/relationships">
  <dimension ref="A1:A81"/>
  <sheetViews>
    <sheetView zoomScalePageLayoutView="0" workbookViewId="0" topLeftCell="A1">
      <selection activeCell="A7" sqref="A7"/>
    </sheetView>
  </sheetViews>
  <sheetFormatPr defaultColWidth="8.796875" defaultRowHeight="15"/>
  <cols>
    <col min="1" max="1" width="80.09765625" style="2" customWidth="1"/>
    <col min="2" max="16384" width="8.8984375" style="2" customWidth="1"/>
  </cols>
  <sheetData>
    <row r="1" ht="15.75">
      <c r="A1" s="361" t="s">
        <v>435</v>
      </c>
    </row>
    <row r="2" ht="15.75">
      <c r="A2" s="2" t="s">
        <v>436</v>
      </c>
    </row>
    <row r="4" ht="15.75">
      <c r="A4" s="361" t="s">
        <v>432</v>
      </c>
    </row>
    <row r="5" ht="15.75">
      <c r="A5" s="2" t="s">
        <v>433</v>
      </c>
    </row>
    <row r="6" ht="15.75">
      <c r="A6" s="2" t="s">
        <v>434</v>
      </c>
    </row>
    <row r="8" ht="15.75">
      <c r="A8" s="361" t="s">
        <v>103</v>
      </c>
    </row>
    <row r="9" ht="15.75">
      <c r="A9" s="2" t="s">
        <v>81</v>
      </c>
    </row>
    <row r="10" ht="15.75">
      <c r="A10" s="2" t="s">
        <v>82</v>
      </c>
    </row>
    <row r="11" ht="15.75">
      <c r="A11" s="2" t="s">
        <v>83</v>
      </c>
    </row>
    <row r="12" ht="15.75">
      <c r="A12" s="2" t="s">
        <v>95</v>
      </c>
    </row>
    <row r="13" ht="15.75">
      <c r="A13" s="2" t="s">
        <v>84</v>
      </c>
    </row>
    <row r="14" ht="15.75">
      <c r="A14" s="2" t="s">
        <v>85</v>
      </c>
    </row>
    <row r="15" ht="31.5">
      <c r="A15" s="5" t="s">
        <v>96</v>
      </c>
    </row>
    <row r="16" ht="31.5">
      <c r="A16" s="5" t="s">
        <v>86</v>
      </c>
    </row>
    <row r="17" ht="15.75">
      <c r="A17" s="5" t="s">
        <v>87</v>
      </c>
    </row>
    <row r="18" ht="15.75">
      <c r="A18" s="5" t="s">
        <v>88</v>
      </c>
    </row>
    <row r="19" ht="31.5">
      <c r="A19" s="5" t="s">
        <v>425</v>
      </c>
    </row>
    <row r="20" ht="15.75">
      <c r="A20" s="2" t="s">
        <v>426</v>
      </c>
    </row>
    <row r="21" ht="31.5">
      <c r="A21" s="5" t="s">
        <v>89</v>
      </c>
    </row>
    <row r="22" ht="15.75">
      <c r="A22" s="2" t="s">
        <v>100</v>
      </c>
    </row>
    <row r="23" ht="15.75">
      <c r="A23" s="2" t="s">
        <v>101</v>
      </c>
    </row>
    <row r="24" ht="15.75">
      <c r="A24" s="2" t="s">
        <v>102</v>
      </c>
    </row>
    <row r="25" ht="31.5">
      <c r="A25" s="5" t="s">
        <v>424</v>
      </c>
    </row>
    <row r="26" ht="15.75">
      <c r="A26" s="2" t="s">
        <v>423</v>
      </c>
    </row>
    <row r="27" ht="31.5">
      <c r="A27" s="5" t="s">
        <v>422</v>
      </c>
    </row>
    <row r="28" ht="15.75">
      <c r="A28" s="2" t="s">
        <v>427</v>
      </c>
    </row>
    <row r="30" ht="15.75">
      <c r="A30" s="361" t="s">
        <v>116</v>
      </c>
    </row>
    <row r="31" ht="15.75">
      <c r="A31" s="2" t="s">
        <v>117</v>
      </c>
    </row>
    <row r="32" ht="15.75">
      <c r="A32" s="2" t="s">
        <v>118</v>
      </c>
    </row>
    <row r="33" ht="15.75">
      <c r="A33" s="2" t="s">
        <v>119</v>
      </c>
    </row>
    <row r="34" ht="15.75">
      <c r="A34" s="2" t="s">
        <v>97</v>
      </c>
    </row>
    <row r="37" ht="15.75">
      <c r="A37" s="361" t="s">
        <v>71</v>
      </c>
    </row>
    <row r="38" ht="15.75">
      <c r="A38" s="2" t="s">
        <v>72</v>
      </c>
    </row>
    <row r="40" ht="15.75">
      <c r="A40" s="361" t="s">
        <v>64</v>
      </c>
    </row>
    <row r="41" ht="15.75">
      <c r="A41" s="2" t="s">
        <v>65</v>
      </c>
    </row>
    <row r="42" ht="15.75">
      <c r="A42" s="2" t="s">
        <v>66</v>
      </c>
    </row>
    <row r="43" ht="31.5">
      <c r="A43" s="5" t="s">
        <v>67</v>
      </c>
    </row>
    <row r="44" ht="15.75">
      <c r="A44" s="2" t="s">
        <v>68</v>
      </c>
    </row>
    <row r="45" ht="15.75">
      <c r="A45" s="2" t="s">
        <v>69</v>
      </c>
    </row>
    <row r="46" ht="15.75">
      <c r="A46" s="2" t="s">
        <v>70</v>
      </c>
    </row>
    <row r="48" ht="18" customHeight="1">
      <c r="A48" s="361" t="s">
        <v>385</v>
      </c>
    </row>
    <row r="49" ht="48.75" customHeight="1">
      <c r="A49" s="5" t="s">
        <v>428</v>
      </c>
    </row>
    <row r="50" ht="15.75">
      <c r="A50" s="2" t="s">
        <v>386</v>
      </c>
    </row>
    <row r="51" ht="15.75">
      <c r="A51" s="2" t="s">
        <v>387</v>
      </c>
    </row>
    <row r="52" ht="15.75">
      <c r="A52" s="2" t="s">
        <v>429</v>
      </c>
    </row>
    <row r="53" ht="15.75">
      <c r="A53" s="2" t="s">
        <v>388</v>
      </c>
    </row>
    <row r="54" ht="15.75">
      <c r="A54" s="2" t="s">
        <v>389</v>
      </c>
    </row>
    <row r="55" ht="15.75">
      <c r="A55" s="2" t="s">
        <v>9</v>
      </c>
    </row>
    <row r="56" ht="15.75">
      <c r="A56" s="2" t="s">
        <v>390</v>
      </c>
    </row>
    <row r="57" ht="15.75">
      <c r="A57" s="2" t="s">
        <v>391</v>
      </c>
    </row>
    <row r="58" ht="31.5">
      <c r="A58" s="5" t="s">
        <v>392</v>
      </c>
    </row>
    <row r="59" ht="31.5">
      <c r="A59" s="5" t="s">
        <v>31</v>
      </c>
    </row>
    <row r="60" ht="15.75">
      <c r="A60" s="2" t="s">
        <v>393</v>
      </c>
    </row>
    <row r="61" ht="15.75">
      <c r="A61" s="2" t="s">
        <v>394</v>
      </c>
    </row>
    <row r="62" ht="15.75">
      <c r="A62" s="2" t="s">
        <v>430</v>
      </c>
    </row>
    <row r="63" ht="15.75">
      <c r="A63" s="2" t="s">
        <v>395</v>
      </c>
    </row>
    <row r="64" ht="15.75">
      <c r="A64" s="2" t="s">
        <v>0</v>
      </c>
    </row>
    <row r="65" ht="31.5">
      <c r="A65" s="5" t="s">
        <v>1</v>
      </c>
    </row>
    <row r="66" ht="15.75">
      <c r="A66" s="2" t="s">
        <v>407</v>
      </c>
    </row>
    <row r="67" ht="15.75">
      <c r="A67" s="2" t="s">
        <v>408</v>
      </c>
    </row>
    <row r="68" ht="31.5">
      <c r="A68" s="5" t="s">
        <v>409</v>
      </c>
    </row>
    <row r="69" ht="15.75">
      <c r="A69" s="2" t="s">
        <v>51</v>
      </c>
    </row>
    <row r="70" ht="15.75">
      <c r="A70" s="2" t="s">
        <v>52</v>
      </c>
    </row>
    <row r="71" ht="15.75">
      <c r="A71" s="2" t="s">
        <v>53</v>
      </c>
    </row>
    <row r="72" ht="15.75">
      <c r="A72" s="2" t="s">
        <v>54</v>
      </c>
    </row>
    <row r="73" ht="15.75">
      <c r="A73" s="2" t="s">
        <v>55</v>
      </c>
    </row>
    <row r="74" ht="15.75">
      <c r="A74" s="2" t="s">
        <v>56</v>
      </c>
    </row>
    <row r="75" ht="15.75">
      <c r="A75" s="2" t="s">
        <v>57</v>
      </c>
    </row>
    <row r="76" ht="15.75">
      <c r="A76" s="2" t="s">
        <v>58</v>
      </c>
    </row>
    <row r="77" ht="15.75">
      <c r="A77" s="2" t="s">
        <v>59</v>
      </c>
    </row>
    <row r="78" ht="15.75">
      <c r="A78" s="2" t="s">
        <v>61</v>
      </c>
    </row>
    <row r="79" ht="15.75">
      <c r="A79" s="2" t="s">
        <v>62</v>
      </c>
    </row>
    <row r="80" ht="15.75">
      <c r="A80" s="2" t="s">
        <v>63</v>
      </c>
    </row>
    <row r="81" ht="15.75">
      <c r="A81" s="2" t="s">
        <v>60</v>
      </c>
    </row>
  </sheetData>
  <sheetProtection sheet="1" objects="1" scenarios="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H94"/>
  <sheetViews>
    <sheetView zoomScalePageLayoutView="0" workbookViewId="0" topLeftCell="A1">
      <selection activeCell="D39" sqref="D39"/>
    </sheetView>
  </sheetViews>
  <sheetFormatPr defaultColWidth="8.796875" defaultRowHeight="15"/>
  <cols>
    <col min="1" max="1" width="24.296875" style="7" customWidth="1"/>
    <col min="2" max="2" width="10.796875" style="7" customWidth="1"/>
    <col min="3" max="3" width="5.796875" style="7" customWidth="1"/>
    <col min="4" max="4" width="14" style="7" customWidth="1"/>
    <col min="5" max="5" width="13.296875" style="7" customWidth="1"/>
    <col min="6" max="6" width="12.296875" style="7" customWidth="1"/>
  </cols>
  <sheetData>
    <row r="1" spans="1:8" ht="15.75">
      <c r="A1" s="21"/>
      <c r="B1" s="21"/>
      <c r="C1" s="22" t="s">
        <v>228</v>
      </c>
      <c r="D1" s="21"/>
      <c r="E1" s="21"/>
      <c r="F1" s="23"/>
      <c r="H1">
        <f>inputPrYr!C5</f>
        <v>2010</v>
      </c>
    </row>
    <row r="2" spans="1:6" ht="15.75">
      <c r="A2" s="438" t="str">
        <f>CONCATENATE("To the Clerk of ",(inputPrYr!D3),", State of Kansas")</f>
        <v>To the Clerk of SEDGWICK COUNTY, State of Kansas</v>
      </c>
      <c r="B2" s="430"/>
      <c r="C2" s="430"/>
      <c r="D2" s="430"/>
      <c r="E2" s="430"/>
      <c r="F2" s="430"/>
    </row>
    <row r="3" spans="1:6" ht="15.75">
      <c r="A3" s="26" t="s">
        <v>224</v>
      </c>
      <c r="B3" s="27"/>
      <c r="C3" s="27"/>
      <c r="D3" s="27"/>
      <c r="E3" s="27"/>
      <c r="F3" s="27"/>
    </row>
    <row r="4" spans="1:6" ht="15.75">
      <c r="A4" s="435" t="str">
        <f>(inputPrYr!D2)</f>
        <v>CITY OF PARK CITY</v>
      </c>
      <c r="B4" s="436"/>
      <c r="C4" s="436"/>
      <c r="D4" s="436"/>
      <c r="E4" s="436"/>
      <c r="F4" s="436"/>
    </row>
    <row r="5" spans="1:6" ht="15.75">
      <c r="A5" s="26" t="s">
        <v>130</v>
      </c>
      <c r="B5" s="27"/>
      <c r="C5" s="27"/>
      <c r="D5" s="27"/>
      <c r="E5" s="27"/>
      <c r="F5" s="27"/>
    </row>
    <row r="6" spans="1:6" ht="15.75">
      <c r="A6" s="26" t="s">
        <v>131</v>
      </c>
      <c r="B6" s="27"/>
      <c r="C6" s="27"/>
      <c r="D6" s="27"/>
      <c r="E6" s="27"/>
      <c r="F6" s="27"/>
    </row>
    <row r="7" spans="1:6" ht="15.75">
      <c r="A7" s="26" t="str">
        <f>CONCATENATE("maximum expenditures for the various funds for the year ",H1,"; and")</f>
        <v>maximum expenditures for the various funds for the year 2010; and</v>
      </c>
      <c r="B7" s="27"/>
      <c r="C7" s="27"/>
      <c r="D7" s="27"/>
      <c r="E7" s="27"/>
      <c r="F7" s="27"/>
    </row>
    <row r="8" spans="1:6" ht="15.75">
      <c r="A8" s="26" t="str">
        <f>CONCATENATE("(3) the Amounts(s) of ",H1-1," Ad Valorem Tax are within statutory limitations.")</f>
        <v>(3) the Amounts(s) of 2009 Ad Valorem Tax are within statutory limitations.</v>
      </c>
      <c r="B8" s="27"/>
      <c r="C8" s="27"/>
      <c r="D8" s="27"/>
      <c r="E8" s="27"/>
      <c r="F8" s="27"/>
    </row>
    <row r="9" spans="1:6" ht="15.75">
      <c r="A9" s="21"/>
      <c r="B9" s="21"/>
      <c r="C9" s="21"/>
      <c r="D9" s="28" t="str">
        <f>CONCATENATE("",H1," Adopted Budget")</f>
        <v>2010 Adopted Budget</v>
      </c>
      <c r="E9" s="29"/>
      <c r="F9" s="30"/>
    </row>
    <row r="10" spans="1:6" ht="21" customHeight="1">
      <c r="A10" s="21"/>
      <c r="B10" s="21"/>
      <c r="C10" s="31"/>
      <c r="D10" s="32" t="s">
        <v>132</v>
      </c>
      <c r="E10" s="33" t="str">
        <f>CONCATENATE("Amount of ",H1-1,"")</f>
        <v>Amount of 2009</v>
      </c>
      <c r="F10" s="33" t="s">
        <v>133</v>
      </c>
    </row>
    <row r="11" spans="1:6" ht="15.75">
      <c r="A11" s="25"/>
      <c r="B11" s="21"/>
      <c r="C11" s="33" t="s">
        <v>134</v>
      </c>
      <c r="D11" s="34"/>
      <c r="E11" s="198" t="s">
        <v>351</v>
      </c>
      <c r="F11" s="34" t="s">
        <v>135</v>
      </c>
    </row>
    <row r="12" spans="1:6" ht="15.75">
      <c r="A12" s="35" t="s">
        <v>136</v>
      </c>
      <c r="B12" s="20"/>
      <c r="C12" s="36" t="s">
        <v>137</v>
      </c>
      <c r="D12" s="36" t="s">
        <v>185</v>
      </c>
      <c r="E12" s="192" t="s">
        <v>352</v>
      </c>
      <c r="F12" s="36" t="s">
        <v>138</v>
      </c>
    </row>
    <row r="13" spans="1:6" ht="15.75">
      <c r="A13" s="37" t="str">
        <f>CONCATENATE("Computation to Determine Limit for ",H1,"")</f>
        <v>Computation to Determine Limit for 2010</v>
      </c>
      <c r="B13" s="38"/>
      <c r="C13" s="140">
        <v>2</v>
      </c>
      <c r="D13" s="39"/>
      <c r="E13" s="39"/>
      <c r="F13" s="39"/>
    </row>
    <row r="14" spans="1:6" ht="15.75">
      <c r="A14" s="37" t="s">
        <v>13</v>
      </c>
      <c r="B14" s="20"/>
      <c r="C14" s="36">
        <v>3</v>
      </c>
      <c r="D14" s="34"/>
      <c r="E14" s="34"/>
      <c r="F14" s="34"/>
    </row>
    <row r="15" spans="1:6" ht="15.75">
      <c r="A15" s="37" t="s">
        <v>294</v>
      </c>
      <c r="B15" s="20"/>
      <c r="C15" s="36">
        <v>4</v>
      </c>
      <c r="D15" s="34"/>
      <c r="E15" s="34"/>
      <c r="F15" s="34"/>
    </row>
    <row r="16" spans="1:6" ht="15.75">
      <c r="A16" s="37" t="s">
        <v>139</v>
      </c>
      <c r="B16" s="38"/>
      <c r="C16" s="140">
        <v>5</v>
      </c>
      <c r="D16" s="41"/>
      <c r="E16" s="41"/>
      <c r="F16" s="41"/>
    </row>
    <row r="17" spans="1:6" ht="15.75">
      <c r="A17" s="37" t="s">
        <v>140</v>
      </c>
      <c r="B17" s="38"/>
      <c r="C17" s="140">
        <v>6</v>
      </c>
      <c r="D17" s="41"/>
      <c r="E17" s="41"/>
      <c r="F17" s="41"/>
    </row>
    <row r="18" spans="1:6" ht="15.75">
      <c r="A18" s="293" t="s">
        <v>141</v>
      </c>
      <c r="B18" s="294" t="s">
        <v>142</v>
      </c>
      <c r="C18" s="82"/>
      <c r="D18" s="43"/>
      <c r="E18" s="43"/>
      <c r="F18" s="43"/>
    </row>
    <row r="19" spans="1:6" ht="15.75">
      <c r="A19" s="44" t="s">
        <v>125</v>
      </c>
      <c r="B19" s="403" t="str">
        <f>IF(inputPrYr!C16&gt;0,(inputPrYr!C16),"  ")</f>
        <v>12-101a</v>
      </c>
      <c r="C19" s="140">
        <v>7</v>
      </c>
      <c r="D19" s="40">
        <f>IF(general!$G$106&lt;&gt;0,general!$G$106,"  ")</f>
        <v>3416164</v>
      </c>
      <c r="E19" s="40">
        <f>IF(general!$G$112&lt;&gt;0,general!$G$112,"  ")</f>
        <v>788282.2399999998</v>
      </c>
      <c r="F19" s="131" t="str">
        <f>IF(AND(general!G112=0,$D$56&gt;=0)," ",IF(AND(E19&gt;0,$D$56=0)," ",IF(AND(E19&gt;0,$D$56&gt;0),ROUND(E19/$D$56*1000,3))))</f>
        <v> </v>
      </c>
    </row>
    <row r="20" spans="1:6" ht="15.75">
      <c r="A20" s="44" t="s">
        <v>75</v>
      </c>
      <c r="B20" s="403" t="str">
        <f>IF(inputPrYr!C17&gt;0,(inputPrYr!C17),"  ")</f>
        <v>10-113</v>
      </c>
      <c r="C20" s="140">
        <f>IF(DebtService!C62&gt;0,DebtService!C62,"  ")</f>
        <v>8</v>
      </c>
      <c r="D20" s="40">
        <f>IF(DebtService!$G$54&lt;&gt;0,DebtService!$G$54,"  ")</f>
        <v>2999343.98</v>
      </c>
      <c r="E20" s="40">
        <f>IF(DebtService!$G$60&lt;&gt;0,DebtService!$G$60,"  ")</f>
        <v>224909.97999999998</v>
      </c>
      <c r="F20" s="131" t="str">
        <f>IF(AND(DebtService!G60=0,$D$56&gt;=0)," ",IF(AND(E20&gt;0,$D$56=0)," ",IF(AND(E20&gt;0,$D$56&gt;0),ROUND(E20/$D$56*1000,3))))</f>
        <v> </v>
      </c>
    </row>
    <row r="21" spans="1:6" ht="15.75">
      <c r="A21" s="40" t="str">
        <f>IF(inputPrYr!$B19&gt;"  ",(inputPrYr!$B19),"  ")</f>
        <v>Bond &amp; Interest-Ballfield Lgts</v>
      </c>
      <c r="B21" s="403" t="str">
        <f>IF(inputPrYr!C19&gt;0,(inputPrYr!C19),"  ")</f>
        <v>Ord #620</v>
      </c>
      <c r="C21" s="140">
        <f>IF('Ballfields &amp; Emp Benefits'!C74&gt;0,'Ballfields &amp; Emp Benefits'!C74,"  ")</f>
        <v>9</v>
      </c>
      <c r="D21" s="40">
        <f>IF('Ballfields &amp; Emp Benefits'!$G$31&gt;0,'Ballfields &amp; Emp Benefits'!$G$31,"  ")</f>
        <v>7730</v>
      </c>
      <c r="E21" s="40">
        <f>IF('Ballfields &amp; Emp Benefits'!$G$37&lt;&gt;0,'Ballfields &amp; Emp Benefits'!$G$37,"  ")</f>
        <v>6683.41</v>
      </c>
      <c r="F21" s="131" t="str">
        <f>IF(AND('Ballfields &amp; Emp Benefits'!$G$37=0,$D$56&gt;=0)," ",IF(AND(E21&gt;0,$D$56=0)," ",IF(AND(E21&gt;0,$D$56&gt;0),ROUND(E21/$D$56*1000,3))))</f>
        <v> </v>
      </c>
    </row>
    <row r="22" spans="1:6" ht="15.75">
      <c r="A22" s="40" t="str">
        <f>IF(inputPrYr!$B20&gt;"  ",(inputPrYr!$B20),"  ")</f>
        <v>Employee Benefit Fund</v>
      </c>
      <c r="B22" s="403" t="str">
        <f>IF(inputPrYr!C20&gt;0,(inputPrYr!C20),"  ")</f>
        <v>12-16,102</v>
      </c>
      <c r="C22" s="140">
        <f>IF('Ballfields &amp; Emp Benefits'!C74&gt;0,'Ballfields &amp; Emp Benefits'!C74,"  ")</f>
        <v>9</v>
      </c>
      <c r="D22" s="40">
        <f>IF('Ballfields &amp; Emp Benefits'!$G$67&gt;0,'Ballfields &amp; Emp Benefits'!$G$67,"  ")</f>
        <v>1103884</v>
      </c>
      <c r="E22" s="40">
        <f>IF('Ballfields &amp; Emp Benefits'!$G$73&lt;&gt;0,'Ballfields &amp; Emp Benefits'!$G$73,"  ")</f>
        <v>830269</v>
      </c>
      <c r="F22" s="131" t="str">
        <f>IF(AND('Ballfields &amp; Emp Benefits'!$G$73=0,$D$56&gt;=0)," ",IF(AND(E22&gt;0,$D$56=0)," ",IF(AND(E22&gt;0,$D$56&gt;0),ROUND(E22/$D$56*1000,3))))</f>
        <v> </v>
      </c>
    </row>
    <row r="23" spans="1:6" ht="15.75">
      <c r="A23" s="40" t="str">
        <f>IF(inputPrYr!$B21&gt;"  ",(inputPrYr!$B21),"  ")</f>
        <v>Library Fund</v>
      </c>
      <c r="B23" s="403" t="str">
        <f>IF(inputPrYr!C21&gt;0,(inputPrYr!C21),"  ")</f>
        <v>12-1220</v>
      </c>
      <c r="C23" s="140">
        <f>IF('Library Levies'!C74&gt;0,'Library Levies'!C74,"  ")</f>
        <v>10</v>
      </c>
      <c r="D23" s="40">
        <f>IF('Library Levies'!$G$31&gt;0,'Library Levies'!$G$31,"  ")</f>
        <v>222813</v>
      </c>
      <c r="E23" s="40">
        <f>IF('Library Levies'!$G$37&lt;&gt;0,'Library Levies'!$G$37,"  ")</f>
        <v>187974</v>
      </c>
      <c r="F23" s="131" t="str">
        <f>IF(AND('Library Levies'!$G$37=0,$D$56&gt;=0)," ",IF(AND(E23&gt;0,$D$56=0)," ",IF(AND(E23&gt;0,$D$56&gt;0),ROUND(E23/$D$56*1000,3))))</f>
        <v> </v>
      </c>
    </row>
    <row r="24" spans="1:6" ht="15.75">
      <c r="A24" s="40" t="str">
        <f>IF(inputPrYr!$B22&gt;"  ",(inputPrYr!$B22),"  ")</f>
        <v>Library Employee Benefits</v>
      </c>
      <c r="B24" s="403" t="str">
        <f>IF(inputPrYr!C22&gt;0,(inputPrYr!C22),"  ")</f>
        <v>12-16,102</v>
      </c>
      <c r="C24" s="140">
        <f>IF('Library Levies'!C74&gt;0,'Library Levies'!C74,"  ")</f>
        <v>10</v>
      </c>
      <c r="D24" s="40">
        <f>IF('Library Levies'!$G$66&gt;0,'Library Levies'!$G$66,"  ")</f>
        <v>46559</v>
      </c>
      <c r="E24" s="40">
        <f>IF('Library Levies'!$G$72&lt;&gt;0,'Library Levies'!$G$72,"  ")</f>
        <v>25406</v>
      </c>
      <c r="F24" s="131" t="str">
        <f>IF(AND('Library Levies'!$G$72=0,$D$56&gt;=0)," ",IF(AND(E24&gt;0,$D$56=0)," ",IF(AND(E24&gt;0,$D$56&gt;0),ROUND(E24/$D$56*1000,3))))</f>
        <v> </v>
      </c>
    </row>
    <row r="25" spans="1:6" ht="15.75">
      <c r="A25" s="40" t="str">
        <f>IF(inputPrYr!$B23&gt;"  ",(inputPrYr!$B23),"  ")</f>
        <v>  </v>
      </c>
      <c r="B25" s="403" t="str">
        <f>IF(inputPrYr!C23&gt;0,(inputPrYr!C23),"  ")</f>
        <v>  </v>
      </c>
      <c r="C25" s="140" t="str">
        <f>IF('na levy page11'!C73&gt;0,'na levy page11'!C73,"  ")</f>
        <v>  </v>
      </c>
      <c r="D25" s="40" t="str">
        <f>IF('na levy page11'!$G$30&gt;0,'na levy page11'!$G$30,"  ")</f>
        <v>  </v>
      </c>
      <c r="E25" s="40" t="str">
        <f>IF('na levy page11'!$G$36&lt;&gt;0,'na levy page11'!$G$36,"  ")</f>
        <v>  </v>
      </c>
      <c r="F25" s="131" t="str">
        <f>IF(AND('na levy page11'!$G$36=0,$D$56&gt;=0)," ",IF(AND(E25&gt;0,$D$56=0)," ",IF(AND(E25&gt;0,$D$56&gt;0),ROUND(E25/$D$56*1000,3))))</f>
        <v> </v>
      </c>
    </row>
    <row r="26" spans="1:6" ht="15.75">
      <c r="A26" s="40" t="str">
        <f>IF(inputPrYr!$B24&gt;"  ",(inputPrYr!$B24),"  ")</f>
        <v>  </v>
      </c>
      <c r="B26" s="403" t="str">
        <f>IF(inputPrYr!C24&gt;0,(inputPrYr!C24),"  ")</f>
        <v>  </v>
      </c>
      <c r="C26" s="140" t="str">
        <f>IF('na levy page11'!C73&gt;0,'na levy page11'!C73,"  ")</f>
        <v>  </v>
      </c>
      <c r="D26" s="40" t="str">
        <f>IF('na levy page11'!$G$65&gt;0,'na levy page11'!$G$65,"  ")</f>
        <v>  </v>
      </c>
      <c r="E26" s="40" t="str">
        <f>IF('na levy page11'!$G$71&lt;&gt;0,'na levy page11'!$G$71,"  ")</f>
        <v>  </v>
      </c>
      <c r="F26" s="131" t="str">
        <f>IF(AND('na levy page11'!$G$71=0,$D$56&gt;=0)," ",IF(AND(E26&gt;0,$D$56=0)," ",IF(AND(E26&gt;0,$D$56&gt;0),ROUND(E26/$D$56*1000,3))))</f>
        <v> </v>
      </c>
    </row>
    <row r="27" spans="1:6" ht="15.75">
      <c r="A27" s="40" t="str">
        <f>IF(inputPrYr!$B25&gt;"  ",(inputPrYr!$B25),"  ")</f>
        <v>  </v>
      </c>
      <c r="B27" s="403" t="str">
        <f>IF(inputPrYr!C25&gt;0,(inputPrYr!C25),"  ")</f>
        <v>  </v>
      </c>
      <c r="C27" s="140" t="str">
        <f>IF('levy page1na 2'!C74&gt;0,'levy page1na 2'!C74,"  ")</f>
        <v>  </v>
      </c>
      <c r="D27" s="40" t="str">
        <f>IF('levy page1na 2'!$G$31&gt;0,'levy page1na 2'!$G$31,"  ")</f>
        <v>  </v>
      </c>
      <c r="E27" s="40" t="str">
        <f>IF('levy page1na 2'!$G$37&lt;&gt;0,'levy page1na 2'!$G$37,"  ")</f>
        <v>  </v>
      </c>
      <c r="F27" s="131" t="str">
        <f>IF(AND('levy page1na 2'!$G$37=0,$D$56&gt;=0)," ",IF(AND(E27&gt;0,$D$56=0)," ",IF(AND(E27&gt;0,$D$56&gt;0),ROUND(E27/$D$56*1000,3))))</f>
        <v> </v>
      </c>
    </row>
    <row r="28" spans="1:6" ht="15.75">
      <c r="A28" s="40" t="str">
        <f>IF(inputPrYr!$B26&gt;"  ",(inputPrYr!$B26),"  ")</f>
        <v>  </v>
      </c>
      <c r="B28" s="403" t="str">
        <f>IF(inputPrYr!C26&gt;0,(inputPrYr!C26),"  ")</f>
        <v>  </v>
      </c>
      <c r="C28" s="140" t="str">
        <f>IF('levy page1na 2'!C74&gt;0,'levy page1na 2'!C74,"  ")</f>
        <v>  </v>
      </c>
      <c r="D28" s="40" t="str">
        <f>IF('levy page1na 2'!$G$66&gt;0,'levy page1na 2'!$G$66,"  ")</f>
        <v>  </v>
      </c>
      <c r="E28" s="40" t="str">
        <f>IF('levy page1na 2'!$G$72&lt;&gt;0,'levy page1na 2'!$G$72,"  ")</f>
        <v>  </v>
      </c>
      <c r="F28" s="131" t="str">
        <f>IF(AND('levy page1na 2'!$G$72=0,$D$56&gt;=0)," ",IF(AND(E28&gt;0,$D$56=0)," ",IF(AND(E28&gt;0,$D$56&gt;0),ROUND(E28/$D$56*1000,3))))</f>
        <v> </v>
      </c>
    </row>
    <row r="29" spans="1:6" ht="15.75">
      <c r="A29" s="40" t="str">
        <f>IF(inputPrYr!$B27&gt;"  ",(inputPrYr!$B27),"  ")</f>
        <v>  </v>
      </c>
      <c r="B29" s="403" t="str">
        <f>IF(inputPrYr!C27&gt;0,(inputPrYr!C27),"  ")</f>
        <v>  </v>
      </c>
      <c r="C29" s="140" t="str">
        <f>IF('na levy page13'!C74&gt;0,'na levy page13'!C74,"  ")</f>
        <v>  </v>
      </c>
      <c r="D29" s="40" t="str">
        <f>IF('na levy page13'!$G$31&gt;0,'na levy page13'!$G$31,"  ")</f>
        <v>  </v>
      </c>
      <c r="E29" s="40" t="str">
        <f>IF('na levy page13'!$G$37&lt;&gt;0,'na levy page13'!$G$37,"  ")</f>
        <v>  </v>
      </c>
      <c r="F29" s="131" t="str">
        <f>IF(AND('na levy page13'!$G$72=0,$D$56&gt;=0)," ",IF(AND(E29&gt;0,$D$56=0)," ",IF(AND(E29&gt;0,$D$56&gt;0),ROUND(E29/$D$56*1000,3))))</f>
        <v> </v>
      </c>
    </row>
    <row r="30" spans="1:6" ht="15.75">
      <c r="A30" s="40" t="str">
        <f>IF(inputPrYr!$B28&gt;"  ",(inputPrYr!$B28),"  ")</f>
        <v>  </v>
      </c>
      <c r="B30" s="403" t="str">
        <f>IF(inputPrYr!C28&gt;0,(inputPrYr!C28),"  ")</f>
        <v>  </v>
      </c>
      <c r="C30" s="140" t="str">
        <f>IF('na levy page13'!C74&gt;0,'na levy page13'!C74,"  ")</f>
        <v>  </v>
      </c>
      <c r="D30" s="40" t="str">
        <f>IF('na levy page13'!$G$66&gt;0,'na levy page13'!$G$66,"  ")</f>
        <v>  </v>
      </c>
      <c r="E30" s="40" t="str">
        <f>IF('na levy page13'!$G$72&lt;&gt;0,'na levy page13'!$G$72,"  ")</f>
        <v>  </v>
      </c>
      <c r="F30" s="131" t="str">
        <f>IF(AND('na levy page13'!$G$72=0,$D$56&gt;=0)," ",IF(AND(E30&gt;0,$D$56=0)," ",IF(AND(E30&gt;0,$D$56&gt;0),ROUND(E30/$D$56*1000,3))))</f>
        <v> </v>
      </c>
    </row>
    <row r="31" spans="1:6" ht="15.75">
      <c r="A31" s="316" t="str">
        <f>IF(inputPrYr!$B32&gt;"  ",(inputPrYr!$B32),"  ")</f>
        <v>Special Highway</v>
      </c>
      <c r="B31" s="400"/>
      <c r="C31" s="399">
        <f>IF('Sp Hiway-C&amp;T'!C67&gt;0,'Sp Hiway-C&amp;T'!C67,"  ")</f>
        <v>11</v>
      </c>
      <c r="D31" s="40">
        <f>IF('Sp Hiway-C&amp;T'!$E$30&gt;0,'Sp Hiway-C&amp;T'!$E$30,"  ")</f>
        <v>482957</v>
      </c>
      <c r="E31" s="42"/>
      <c r="F31" s="42"/>
    </row>
    <row r="32" spans="1:6" ht="15.75">
      <c r="A32" s="316" t="str">
        <f>IF(inputPrYr!$B33&gt;"  ",(inputPrYr!$B33),"  ")</f>
        <v>Convention &amp; Tourism</v>
      </c>
      <c r="B32" s="400"/>
      <c r="C32" s="399">
        <f>IF('Sp Hiway-C&amp;T'!C67&gt;0,'Sp Hiway-C&amp;T'!C67,"  ")</f>
        <v>11</v>
      </c>
      <c r="D32" s="40">
        <f>IF('Sp Hiway-C&amp;T'!$E$61&gt;0,'Sp Hiway-C&amp;T'!$E$61,"  ")</f>
        <v>585000</v>
      </c>
      <c r="E32" s="42"/>
      <c r="F32" s="42"/>
    </row>
    <row r="33" spans="1:6" ht="15.75">
      <c r="A33" s="316" t="str">
        <f>IF(inputPrYr!$B34&gt;"  ",(inputPrYr!$B34),"  ")</f>
        <v>Special Alcohol/Drug(Police)</v>
      </c>
      <c r="B33" s="401"/>
      <c r="C33" s="399">
        <f>IF('Spec Drug &amp; Alcohol'!C65&gt;0,'Spec Drug &amp; Alcohol'!C65,"  ")</f>
        <v>12</v>
      </c>
      <c r="D33" s="40">
        <f>IF('Spec Drug &amp; Alcohol'!$E$28&gt;0,'Spec Drug &amp; Alcohol'!$E$28,"  ")</f>
        <v>12500</v>
      </c>
      <c r="E33" s="42"/>
      <c r="F33" s="42"/>
    </row>
    <row r="34" spans="1:6" ht="15.75">
      <c r="A34" s="316" t="str">
        <f>IF(inputPrYr!$B35&gt;"  ",(inputPrYr!$B35),"  ")</f>
        <v>Special Alcohol (Park)</v>
      </c>
      <c r="B34" s="400"/>
      <c r="C34" s="399">
        <f>IF('Spec Drug &amp; Alcohol'!C65&gt;0,'Spec Drug &amp; Alcohol'!C65,"  ")</f>
        <v>12</v>
      </c>
      <c r="D34" s="40">
        <f>IF('Spec Drug &amp; Alcohol'!$E$59&gt;0,'Spec Drug &amp; Alcohol'!$E$59,"  ")</f>
        <v>15900</v>
      </c>
      <c r="E34" s="42"/>
      <c r="F34" s="42"/>
    </row>
    <row r="35" spans="1:6" ht="15.75">
      <c r="A35" s="316" t="str">
        <f>IF(inputPrYr!$B36&gt;"  ",(inputPrYr!$B36),"  ")</f>
        <v>Police &amp; Court Training</v>
      </c>
      <c r="B35" s="401"/>
      <c r="C35" s="399">
        <f>IF('Pol Training &amp; Solid Waste'!C65&gt;0,'Pol Training &amp; Solid Waste'!C65,"  ")</f>
        <v>13</v>
      </c>
      <c r="D35" s="40">
        <f>IF('Pol Training &amp; Solid Waste'!$E$28&gt;0,'Pol Training &amp; Solid Waste'!$E$28,"  ")</f>
        <v>26000</v>
      </c>
      <c r="E35" s="42"/>
      <c r="F35" s="42"/>
    </row>
    <row r="36" spans="1:6" ht="15.75">
      <c r="A36" s="316" t="str">
        <f>IF(inputPrYr!$B37&gt;"  ",(inputPrYr!$B37),"  ")</f>
        <v>Solid Waste Utility Fund</v>
      </c>
      <c r="B36" s="402"/>
      <c r="C36" s="399">
        <f>IF('Pol Training &amp; Solid Waste'!C65&gt;0,'Pol Training &amp; Solid Waste'!C65,"  ")</f>
        <v>13</v>
      </c>
      <c r="D36" s="40">
        <f>IF('Pol Training &amp; Solid Waste'!$E$59&gt;0,'Pol Training &amp; Solid Waste'!$E$59,"  ")</f>
        <v>511000</v>
      </c>
      <c r="E36" s="42"/>
      <c r="F36" s="42"/>
    </row>
    <row r="37" spans="1:6" ht="15.75">
      <c r="A37" s="316" t="str">
        <f>IF(inputPrYr!$B38&gt;"  ",(inputPrYr!$B38),"  ")</f>
        <v>Sewer Special Reserve Funds</v>
      </c>
      <c r="B37" s="402"/>
      <c r="C37" s="399">
        <f>IF('Spec Utility Reserves'!C65&gt;0,'Spec Utility Reserves'!C65,"  ")</f>
        <v>14</v>
      </c>
      <c r="D37" s="40">
        <f>IF('Spec Utility Reserves'!$E$28&gt;0,'Spec Utility Reserves'!$E$28,"  ")</f>
        <v>260000</v>
      </c>
      <c r="E37" s="42"/>
      <c r="F37" s="42"/>
    </row>
    <row r="38" spans="1:6" ht="15.75">
      <c r="A38" s="316" t="str">
        <f>IF(inputPrYr!$B39&gt;"  ",(inputPrYr!$B39),"  ")</f>
        <v>Water Special Reserve Funds</v>
      </c>
      <c r="B38" s="402"/>
      <c r="C38" s="399">
        <f>IF('Spec Utility Reserves'!C65&gt;0,'Spec Utility Reserves'!C65,"  ")</f>
        <v>14</v>
      </c>
      <c r="D38" s="40">
        <f>IF('Spec Utility Reserves'!$E$59&gt;0,'Spec Utility Reserves'!$E$59,"  ")</f>
        <v>350000</v>
      </c>
      <c r="E38" s="42"/>
      <c r="F38" s="42"/>
    </row>
    <row r="39" spans="1:6" ht="15.75">
      <c r="A39" s="316" t="str">
        <f>IF(inputPrYr!$B40&gt;"  ",(inputPrYr!$B40),"  ")</f>
        <v>CCUA Water/Sewer Fund</v>
      </c>
      <c r="B39" s="400"/>
      <c r="C39" s="399">
        <f>IF('CCUA no levy page 18'!C65&gt;0,'CCUA no levy page 18'!C65,"  ")</f>
        <v>15</v>
      </c>
      <c r="D39" s="40" t="str">
        <f>IF('CCUA no levy page 18'!$E$28&gt;0,'CCUA no levy page 18'!$E$28,"  ")</f>
        <v>  </v>
      </c>
      <c r="E39" s="42"/>
      <c r="F39" s="42"/>
    </row>
    <row r="40" spans="1:6" ht="15.75">
      <c r="A40" s="316" t="str">
        <f>IF(inputPrYr!$B41&gt;"  ",(inputPrYr!$B41),"  ")</f>
        <v>  </v>
      </c>
      <c r="B40" s="400"/>
      <c r="C40" s="399">
        <f>IF('CCUA no levy page 18'!C65&gt;0,'CCUA no levy page 18'!C65,"  ")</f>
        <v>15</v>
      </c>
      <c r="D40" s="40" t="str">
        <f>IF('CCUA no levy page 18'!$E$59&gt;0,'CCUA no levy page 18'!$E$59,"  ")</f>
        <v>  </v>
      </c>
      <c r="E40" s="42"/>
      <c r="F40" s="42"/>
    </row>
    <row r="41" spans="1:6" ht="15.75">
      <c r="A41" s="316" t="str">
        <f>IF(inputPrYr!$B42&gt;"  ",(inputPrYr!$B42),"  ")</f>
        <v>  </v>
      </c>
      <c r="B41" s="401"/>
      <c r="C41" s="399" t="str">
        <f>IF('no levy page19'!C65&gt;0,'no levy page19'!C65,"  ")</f>
        <v>  </v>
      </c>
      <c r="D41" s="40" t="str">
        <f>IF('no levy page19'!$E$28&gt;0,'no levy page19'!$E$28,"  ")</f>
        <v>  </v>
      </c>
      <c r="E41" s="42"/>
      <c r="F41" s="42"/>
    </row>
    <row r="42" spans="1:6" ht="15.75">
      <c r="A42" s="316" t="str">
        <f>IF(inputPrYr!$B43&gt;"  ",(inputPrYr!$B43),"  ")</f>
        <v>  </v>
      </c>
      <c r="B42" s="402"/>
      <c r="C42" s="399" t="str">
        <f>IF('no levy page19'!C65&gt;0,'no levy page19'!C65,"  ")</f>
        <v>  </v>
      </c>
      <c r="D42" s="40" t="str">
        <f>IF('no levy page19'!$E$59&gt;0,'no levy page19'!$E$59,"  ")</f>
        <v>  </v>
      </c>
      <c r="E42" s="42"/>
      <c r="F42" s="42"/>
    </row>
    <row r="43" spans="1:6" ht="15.75">
      <c r="A43" s="316" t="str">
        <f>IF(inputPrYr!$B45&gt;"  ",(inputPrYr!$B45),"  ")</f>
        <v>Sewer Utility</v>
      </c>
      <c r="B43" s="400"/>
      <c r="C43" s="399">
        <f>IF('SinNoLevy20-Sewer'!C58&gt;0,'SinNoLevy20-Sewer'!C58,"  ")</f>
        <v>16</v>
      </c>
      <c r="D43" s="40">
        <f>IF('SinNoLevy20-Sewer'!$E$52&gt;0,'SinNoLevy20-Sewer'!$E$52,"  ")</f>
        <v>1363516.0035</v>
      </c>
      <c r="E43" s="42"/>
      <c r="F43" s="42"/>
    </row>
    <row r="44" spans="1:6" ht="15.75">
      <c r="A44" s="316" t="str">
        <f>IF(inputPrYr!$B46&gt;"  ",(inputPrYr!$B46),"  ")</f>
        <v>Water Utility</v>
      </c>
      <c r="B44" s="400"/>
      <c r="C44" s="399">
        <f>IF('SinNoLevy21-Water'!C67&gt;0,'SinNoLevy21-Water'!C67,"  ")</f>
        <v>17</v>
      </c>
      <c r="D44" s="40">
        <f>IF('SinNoLevy21-Water'!$E$61&gt;0,'SinNoLevy21-Water'!$E$61,"  ")</f>
        <v>1522368</v>
      </c>
      <c r="E44" s="42"/>
      <c r="F44" s="42"/>
    </row>
    <row r="45" spans="1:6" ht="15.75">
      <c r="A45" s="316" t="str">
        <f>IF(inputPrYr!$B47&gt;"  ",(inputPrYr!$B47),"  ")</f>
        <v>Roving Senior Director Trust</v>
      </c>
      <c r="B45" s="401"/>
      <c r="C45" s="399">
        <f>IF('SinNoLevy22-Sr Dir'!C53&gt;0,'SinNoLevy22-Sr Dir'!C53,"  ")</f>
        <v>18</v>
      </c>
      <c r="D45" s="40">
        <f>IF('SinNoLevy22-Sr Dir'!$E$47&gt;0,'SinNoLevy22-Sr Dir'!$E$47,"  ")</f>
        <v>42981.6687</v>
      </c>
      <c r="E45" s="42"/>
      <c r="F45" s="42"/>
    </row>
    <row r="46" spans="1:6" ht="15.75">
      <c r="A46" s="316" t="str">
        <f>IF(inputPrYr!$B48&gt;"  ",(inputPrYr!$B48),"  ")</f>
        <v>  </v>
      </c>
      <c r="B46" s="402"/>
      <c r="C46" s="399" t="str">
        <f>IF(SinNoLevy23!C53&gt;0,SinNoLevy23!C53,"  ")</f>
        <v>  </v>
      </c>
      <c r="D46" s="40" t="str">
        <f>IF(SinNoLevy23!$E$47&gt;0,SinNoLevy23!$E$47,"  ")</f>
        <v>  </v>
      </c>
      <c r="E46" s="42"/>
      <c r="F46" s="42"/>
    </row>
    <row r="47" spans="1:6" ht="15.75">
      <c r="A47" s="316" t="str">
        <f>IF(inputPrYr!$B51&gt;"  ",(NonBudA!$A3),"  ")</f>
        <v>Non-Budgeted Funds-A</v>
      </c>
      <c r="B47" s="402"/>
      <c r="C47" s="399">
        <f>IF(NonBudA!F33&gt;0,NonBudA!F33,"  ")</f>
        <v>19</v>
      </c>
      <c r="D47" s="40"/>
      <c r="E47" s="42"/>
      <c r="F47" s="42"/>
    </row>
    <row r="48" spans="1:6" ht="15.75">
      <c r="A48" s="316" t="str">
        <f>IF(inputPrYr!$B57&gt;"  ",(NonBudB!$A3),"  ")</f>
        <v>Non-Budgeted Funds-B</v>
      </c>
      <c r="B48" s="402"/>
      <c r="C48" s="399">
        <f>IF(NonBudB!F33&gt;0,NonBudB!F33,"  ")</f>
        <v>20</v>
      </c>
      <c r="D48" s="40"/>
      <c r="E48" s="42"/>
      <c r="F48" s="42"/>
    </row>
    <row r="49" spans="1:6" ht="15.75">
      <c r="A49" s="316" t="str">
        <f>IF(inputPrYr!$B63&gt;"  ",(NonBudC!$A3),"  ")</f>
        <v>Non-Budgeted Funds-C</v>
      </c>
      <c r="B49" s="400"/>
      <c r="C49" s="399">
        <f>IF(NonBudC!F33&gt;0,NonBudC!F33,"  ")</f>
        <v>21</v>
      </c>
      <c r="D49" s="40"/>
      <c r="E49" s="42"/>
      <c r="F49" s="42"/>
    </row>
    <row r="50" spans="1:6" ht="15.75">
      <c r="A50" s="316" t="str">
        <f>IF(inputPrYr!$B69&gt;"  ",(NonBudD!$A3),"  ")</f>
        <v>Non-Budgeted Funds-D</v>
      </c>
      <c r="B50" s="401"/>
      <c r="C50" s="399">
        <f>IF(NonBudD!F33&gt;0,NonBudD!F33,"  ")</f>
        <v>22</v>
      </c>
      <c r="D50" s="40"/>
      <c r="E50" s="42"/>
      <c r="F50" s="42"/>
    </row>
    <row r="51" spans="1:6" ht="15.75">
      <c r="A51" s="37" t="s">
        <v>143</v>
      </c>
      <c r="B51" s="38"/>
      <c r="C51" s="140" t="s">
        <v>144</v>
      </c>
      <c r="D51" s="40">
        <f>SUM(D19:D50)</f>
        <v>12968716.6522</v>
      </c>
      <c r="E51" s="40">
        <f>SUM(E19:E50)</f>
        <v>2063524.63</v>
      </c>
      <c r="F51" s="132">
        <f>IF(SUM(F19:F50)=0,"",SUM(F19:F50))</f>
      </c>
    </row>
    <row r="52" spans="1:6" ht="15.75">
      <c r="A52" s="37" t="s">
        <v>412</v>
      </c>
      <c r="B52" s="38"/>
      <c r="C52" s="140">
        <f>summ!D69</f>
        <v>23</v>
      </c>
      <c r="D52" s="21"/>
      <c r="E52" s="21"/>
      <c r="F52" s="21"/>
    </row>
    <row r="53" spans="1:6" ht="15.75">
      <c r="A53" s="37" t="s">
        <v>25</v>
      </c>
      <c r="B53" s="38"/>
      <c r="C53" s="140">
        <f>IF(nhood!C34&gt;0,nhood!C34,"")</f>
      </c>
      <c r="D53" s="21"/>
      <c r="E53" s="21"/>
      <c r="F53" s="21"/>
    </row>
    <row r="54" spans="1:6" ht="15.75">
      <c r="A54" s="247" t="s">
        <v>413</v>
      </c>
      <c r="B54" s="248"/>
      <c r="C54" s="249"/>
      <c r="D54" s="251"/>
      <c r="E54" s="250" t="str">
        <f>IF(E51&gt;computation!J40,"Yes","No")</f>
        <v>No</v>
      </c>
      <c r="F54" s="106"/>
    </row>
    <row r="55" spans="1:6" ht="15.75">
      <c r="A55" s="130"/>
      <c r="B55" s="106"/>
      <c r="C55" s="21"/>
      <c r="D55" s="229" t="s">
        <v>298</v>
      </c>
      <c r="E55" s="106"/>
      <c r="F55" s="106"/>
    </row>
    <row r="56" spans="1:6" ht="15.75">
      <c r="A56" s="130"/>
      <c r="B56" s="106"/>
      <c r="C56" s="21"/>
      <c r="D56" s="142"/>
      <c r="E56" s="20"/>
      <c r="F56" s="20"/>
    </row>
    <row r="57" spans="1:6" ht="16.5" customHeight="1">
      <c r="A57" s="21"/>
      <c r="B57" s="21"/>
      <c r="C57" s="25"/>
      <c r="D57" s="439" t="s">
        <v>414</v>
      </c>
      <c r="E57" s="115"/>
      <c r="F57" s="115"/>
    </row>
    <row r="58" spans="1:6" ht="16.5" customHeight="1">
      <c r="A58" s="32" t="s">
        <v>146</v>
      </c>
      <c r="B58" s="46"/>
      <c r="C58" s="21"/>
      <c r="D58" s="440"/>
      <c r="E58" s="31"/>
      <c r="F58" s="31"/>
    </row>
    <row r="59" spans="1:6" ht="16.5" customHeight="1">
      <c r="A59" s="47" t="s">
        <v>225</v>
      </c>
      <c r="B59" s="24"/>
      <c r="C59" s="106"/>
      <c r="D59" s="106"/>
      <c r="E59" s="411"/>
      <c r="F59" s="411"/>
    </row>
    <row r="60" spans="1:6" ht="16.5" customHeight="1">
      <c r="A60" s="47" t="s">
        <v>226</v>
      </c>
      <c r="B60" s="24" t="s">
        <v>145</v>
      </c>
      <c r="C60" s="413" t="s">
        <v>768</v>
      </c>
      <c r="D60" s="413"/>
      <c r="E60" s="141"/>
      <c r="F60" s="141"/>
    </row>
    <row r="61" spans="1:6" ht="16.5" customHeight="1">
      <c r="A61" s="48" t="s">
        <v>227</v>
      </c>
      <c r="B61" s="246"/>
      <c r="C61" s="413" t="s">
        <v>768</v>
      </c>
      <c r="D61" s="413"/>
      <c r="E61" s="411"/>
      <c r="F61" s="411"/>
    </row>
    <row r="62" spans="1:6" ht="16.5" customHeight="1">
      <c r="A62" s="106"/>
      <c r="B62" s="292" t="s">
        <v>315</v>
      </c>
      <c r="C62" s="16"/>
      <c r="D62" s="16"/>
      <c r="E62" s="141"/>
      <c r="F62" s="141"/>
    </row>
    <row r="63" spans="1:6" ht="16.5" customHeight="1">
      <c r="A63" s="25" t="s">
        <v>8</v>
      </c>
      <c r="B63" s="92">
        <f>H1-1</f>
        <v>2009</v>
      </c>
      <c r="C63" s="16"/>
      <c r="D63" s="16"/>
      <c r="E63" s="412"/>
      <c r="F63" s="115"/>
    </row>
    <row r="64" spans="1:6" ht="16.5" customHeight="1">
      <c r="A64" s="31"/>
      <c r="B64" s="21"/>
      <c r="C64" s="21"/>
      <c r="D64" s="21"/>
      <c r="E64" s="20"/>
      <c r="F64" s="20"/>
    </row>
    <row r="65" spans="1:6" ht="15.75">
      <c r="A65" s="49" t="s">
        <v>148</v>
      </c>
      <c r="B65" s="21"/>
      <c r="C65" s="21"/>
      <c r="D65" s="21"/>
      <c r="E65" s="437" t="s">
        <v>147</v>
      </c>
      <c r="F65" s="437"/>
    </row>
    <row r="66" ht="15.75">
      <c r="A66" s="2"/>
    </row>
    <row r="76" spans="1:6" ht="15">
      <c r="A76"/>
      <c r="B76"/>
      <c r="C76"/>
      <c r="D76"/>
      <c r="E76"/>
      <c r="F76"/>
    </row>
    <row r="77" spans="1:6" ht="15">
      <c r="A77"/>
      <c r="B77"/>
      <c r="C77"/>
      <c r="D77"/>
      <c r="E77"/>
      <c r="F77"/>
    </row>
    <row r="78" spans="1:6" ht="15">
      <c r="A78"/>
      <c r="B78"/>
      <c r="C78"/>
      <c r="D78"/>
      <c r="E78"/>
      <c r="F78"/>
    </row>
    <row r="79" spans="1:6" ht="15">
      <c r="A79"/>
      <c r="B79"/>
      <c r="C79"/>
      <c r="D79"/>
      <c r="E79"/>
      <c r="F79"/>
    </row>
    <row r="80" spans="1:6" ht="15">
      <c r="A80"/>
      <c r="B80"/>
      <c r="C80"/>
      <c r="D80"/>
      <c r="E80"/>
      <c r="F80"/>
    </row>
    <row r="81" spans="1:6" ht="15">
      <c r="A81"/>
      <c r="B81"/>
      <c r="C81"/>
      <c r="D81"/>
      <c r="E81"/>
      <c r="F81"/>
    </row>
    <row r="82" spans="1:6" ht="15">
      <c r="A82"/>
      <c r="B82"/>
      <c r="C82"/>
      <c r="D82"/>
      <c r="E82"/>
      <c r="F82"/>
    </row>
    <row r="83" spans="1:6" ht="15">
      <c r="A83"/>
      <c r="B83"/>
      <c r="C83"/>
      <c r="D83"/>
      <c r="E83"/>
      <c r="F83"/>
    </row>
    <row r="84" spans="1:6" ht="15">
      <c r="A84"/>
      <c r="B84"/>
      <c r="C84"/>
      <c r="D84"/>
      <c r="E84"/>
      <c r="F84"/>
    </row>
    <row r="85" spans="1:6" ht="15">
      <c r="A85"/>
      <c r="B85"/>
      <c r="C85"/>
      <c r="D85"/>
      <c r="E85"/>
      <c r="F85"/>
    </row>
    <row r="86" spans="1:6" ht="15">
      <c r="A86"/>
      <c r="B86"/>
      <c r="C86"/>
      <c r="D86"/>
      <c r="E86"/>
      <c r="F86"/>
    </row>
    <row r="87" spans="1:6" ht="15">
      <c r="A87"/>
      <c r="B87"/>
      <c r="C87"/>
      <c r="D87"/>
      <c r="E87"/>
      <c r="F87"/>
    </row>
    <row r="88" spans="1:6" ht="15">
      <c r="A88"/>
      <c r="B88"/>
      <c r="C88"/>
      <c r="D88"/>
      <c r="E88"/>
      <c r="F88"/>
    </row>
    <row r="89" spans="1:6" ht="15">
      <c r="A89"/>
      <c r="B89"/>
      <c r="C89"/>
      <c r="D89"/>
      <c r="E89"/>
      <c r="F89"/>
    </row>
    <row r="90" spans="1:6" ht="15">
      <c r="A90"/>
      <c r="B90"/>
      <c r="C90"/>
      <c r="D90"/>
      <c r="E90"/>
      <c r="F90"/>
    </row>
    <row r="91" spans="1:6" ht="15">
      <c r="A91"/>
      <c r="B91"/>
      <c r="C91"/>
      <c r="D91"/>
      <c r="E91"/>
      <c r="F91"/>
    </row>
    <row r="94" spans="1:6" ht="15.75">
      <c r="A94" s="2"/>
      <c r="B94" s="2"/>
      <c r="C94" s="2"/>
      <c r="D94" s="2"/>
      <c r="E94" s="2"/>
      <c r="F94" s="2"/>
    </row>
  </sheetData>
  <sheetProtection/>
  <mergeCells count="4">
    <mergeCell ref="A4:F4"/>
    <mergeCell ref="E65:F65"/>
    <mergeCell ref="A2:F2"/>
    <mergeCell ref="D57:D58"/>
  </mergeCells>
  <printOptions/>
  <pageMargins left="0.5" right="0.5" top="1" bottom="0.5" header="0.5" footer="0.25"/>
  <pageSetup blackAndWhite="1" fitToHeight="1" fitToWidth="1" horizontalDpi="120" verticalDpi="120" orientation="portrait" scale="67" r:id="rId1"/>
  <headerFooter alignWithMargins="0">
    <oddHeader>&amp;RState of Kansas
City
</oddHeader>
    <oddFooter>&amp;Lrevised 3/19/09&amp;C   Page No. 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44"/>
  <sheetViews>
    <sheetView zoomScale="72" zoomScaleNormal="72" zoomScalePageLayoutView="0" workbookViewId="0" topLeftCell="A16">
      <selection activeCell="J40" sqref="J40"/>
    </sheetView>
  </sheetViews>
  <sheetFormatPr defaultColWidth="8.796875" defaultRowHeight="15.75" customHeight="1"/>
  <cols>
    <col min="1" max="2" width="3.296875" style="2" customWidth="1"/>
    <col min="3" max="3" width="31.296875" style="2" customWidth="1"/>
    <col min="4" max="4" width="2.296875" style="2" customWidth="1"/>
    <col min="5" max="5" width="15.796875" style="2" customWidth="1"/>
    <col min="6" max="6" width="2" style="2" customWidth="1"/>
    <col min="7" max="7" width="15.796875" style="2" customWidth="1"/>
    <col min="8" max="8" width="1.8984375" style="2" customWidth="1"/>
    <col min="9" max="9" width="1.796875" style="2" customWidth="1"/>
    <col min="10" max="10" width="15.796875" style="2" customWidth="1"/>
    <col min="11" max="16384" width="8.8984375" style="2" customWidth="1"/>
  </cols>
  <sheetData>
    <row r="1" spans="1:10" ht="15.75" customHeight="1">
      <c r="A1" s="50"/>
      <c r="B1" s="50"/>
      <c r="C1" s="51" t="str">
        <f>inputPrYr!D2</f>
        <v>CITY OF PARK CITY</v>
      </c>
      <c r="D1" s="50"/>
      <c r="E1" s="50"/>
      <c r="F1" s="50"/>
      <c r="G1" s="50"/>
      <c r="H1" s="50"/>
      <c r="I1" s="50"/>
      <c r="J1" s="50">
        <f>inputPrYr!C5</f>
        <v>2010</v>
      </c>
    </row>
    <row r="2" spans="1:10" ht="15.75" customHeight="1">
      <c r="A2" s="50"/>
      <c r="B2" s="50"/>
      <c r="C2" s="50"/>
      <c r="D2" s="50"/>
      <c r="E2" s="50"/>
      <c r="F2" s="50"/>
      <c r="G2" s="50"/>
      <c r="H2" s="50"/>
      <c r="I2" s="50"/>
      <c r="J2" s="50"/>
    </row>
    <row r="3" spans="1:10" ht="15.75">
      <c r="A3" s="442" t="str">
        <f>CONCATENATE("Computation to Determine Limit for ",J1,"")</f>
        <v>Computation to Determine Limit for 2010</v>
      </c>
      <c r="B3" s="443"/>
      <c r="C3" s="443"/>
      <c r="D3" s="443"/>
      <c r="E3" s="443"/>
      <c r="F3" s="443"/>
      <c r="G3" s="443"/>
      <c r="H3" s="443"/>
      <c r="I3" s="443"/>
      <c r="J3" s="443"/>
    </row>
    <row r="4" spans="1:10" ht="15.75">
      <c r="A4" s="50"/>
      <c r="B4" s="50"/>
      <c r="C4" s="50"/>
      <c r="D4" s="50"/>
      <c r="E4" s="443"/>
      <c r="F4" s="443"/>
      <c r="G4" s="443"/>
      <c r="H4" s="52"/>
      <c r="I4" s="50"/>
      <c r="J4" s="53" t="s">
        <v>242</v>
      </c>
    </row>
    <row r="5" spans="1:10" ht="15.75">
      <c r="A5" s="54" t="s">
        <v>243</v>
      </c>
      <c r="B5" s="50" t="str">
        <f>CONCATENATE("Total Tax Levy Amount in ",J1-1," Budget")</f>
        <v>Total Tax Levy Amount in 2009 Budget</v>
      </c>
      <c r="C5" s="50"/>
      <c r="D5" s="50"/>
      <c r="E5" s="55"/>
      <c r="F5" s="55"/>
      <c r="G5" s="55"/>
      <c r="H5" s="56" t="s">
        <v>244</v>
      </c>
      <c r="I5" s="55" t="s">
        <v>245</v>
      </c>
      <c r="J5" s="57">
        <f>inputPrYr!E29</f>
        <v>1971113</v>
      </c>
    </row>
    <row r="6" spans="1:10" ht="15.75">
      <c r="A6" s="54" t="s">
        <v>246</v>
      </c>
      <c r="B6" s="50" t="str">
        <f>CONCATENATE("Debt Service Levy in ",J1-1," Budget")</f>
        <v>Debt Service Levy in 2009 Budget</v>
      </c>
      <c r="C6" s="50"/>
      <c r="D6" s="50"/>
      <c r="E6" s="55"/>
      <c r="F6" s="55"/>
      <c r="G6" s="55"/>
      <c r="H6" s="56" t="s">
        <v>247</v>
      </c>
      <c r="I6" s="55" t="s">
        <v>245</v>
      </c>
      <c r="J6" s="206">
        <f>inputPrYr!E17</f>
        <v>144300</v>
      </c>
    </row>
    <row r="7" spans="1:10" ht="15.75">
      <c r="A7" s="54" t="s">
        <v>274</v>
      </c>
      <c r="B7" s="58" t="s">
        <v>271</v>
      </c>
      <c r="C7" s="50"/>
      <c r="D7" s="50"/>
      <c r="E7" s="55"/>
      <c r="F7" s="55"/>
      <c r="G7" s="55"/>
      <c r="H7" s="55"/>
      <c r="I7" s="55" t="s">
        <v>245</v>
      </c>
      <c r="J7" s="59">
        <f>J5-J6</f>
        <v>1826813</v>
      </c>
    </row>
    <row r="8" spans="1:10" ht="15.75">
      <c r="A8" s="50"/>
      <c r="B8" s="50"/>
      <c r="C8" s="50"/>
      <c r="D8" s="50"/>
      <c r="E8" s="55"/>
      <c r="F8" s="55"/>
      <c r="G8" s="55"/>
      <c r="H8" s="55"/>
      <c r="I8" s="55"/>
      <c r="J8" s="55"/>
    </row>
    <row r="9" spans="1:10" ht="15.75">
      <c r="A9" s="50"/>
      <c r="B9" s="58" t="str">
        <f>CONCATENATE("",J1-1," Valuation Information for Valuation Adjustments:")</f>
        <v>2009 Valuation Information for Valuation Adjustments:</v>
      </c>
      <c r="C9" s="50"/>
      <c r="D9" s="50"/>
      <c r="E9" s="55"/>
      <c r="F9" s="55"/>
      <c r="G9" s="55"/>
      <c r="H9" s="55"/>
      <c r="I9" s="55"/>
      <c r="J9" s="55"/>
    </row>
    <row r="10" spans="1:10" ht="15.75">
      <c r="A10" s="50"/>
      <c r="B10" s="50"/>
      <c r="C10" s="58"/>
      <c r="D10" s="50"/>
      <c r="E10" s="55"/>
      <c r="F10" s="55"/>
      <c r="G10" s="55"/>
      <c r="H10" s="55"/>
      <c r="I10" s="55"/>
      <c r="J10" s="55"/>
    </row>
    <row r="11" spans="1:10" ht="15.75">
      <c r="A11" s="54" t="s">
        <v>248</v>
      </c>
      <c r="B11" s="58" t="str">
        <f>CONCATENATE("New Improvements for ",J1-1,":")</f>
        <v>New Improvements for 2009:</v>
      </c>
      <c r="C11" s="50"/>
      <c r="D11" s="50"/>
      <c r="E11" s="56"/>
      <c r="F11" s="56" t="s">
        <v>244</v>
      </c>
      <c r="G11" s="60">
        <f>inputOth!E7</f>
        <v>2563981</v>
      </c>
      <c r="H11" s="61"/>
      <c r="I11" s="55"/>
      <c r="J11" s="55"/>
    </row>
    <row r="12" spans="1:10" ht="15.75">
      <c r="A12" s="54"/>
      <c r="B12" s="62"/>
      <c r="C12" s="50"/>
      <c r="D12" s="50"/>
      <c r="E12" s="56"/>
      <c r="F12" s="56"/>
      <c r="G12" s="61"/>
      <c r="H12" s="61"/>
      <c r="I12" s="55"/>
      <c r="J12" s="55"/>
    </row>
    <row r="13" spans="1:10" ht="15.75">
      <c r="A13" s="54" t="s">
        <v>249</v>
      </c>
      <c r="B13" s="58" t="str">
        <f>CONCATENATE("Increase in Personal Property for ",J1-1,":")</f>
        <v>Increase in Personal Property for 2009:</v>
      </c>
      <c r="C13" s="50"/>
      <c r="D13" s="50"/>
      <c r="E13" s="56"/>
      <c r="F13" s="56"/>
      <c r="G13" s="61"/>
      <c r="H13" s="61"/>
      <c r="I13" s="55"/>
      <c r="J13" s="55"/>
    </row>
    <row r="14" spans="1:10" ht="15.75">
      <c r="A14" s="63"/>
      <c r="B14" s="50" t="s">
        <v>250</v>
      </c>
      <c r="C14" s="50" t="str">
        <f>CONCATENATE("Personal Property ",J1-1,"")</f>
        <v>Personal Property 2009</v>
      </c>
      <c r="D14" s="62" t="s">
        <v>244</v>
      </c>
      <c r="E14" s="60">
        <f>inputOth!E8</f>
        <v>3887179</v>
      </c>
      <c r="F14" s="56"/>
      <c r="G14" s="55"/>
      <c r="H14" s="55"/>
      <c r="I14" s="61"/>
      <c r="J14" s="55"/>
    </row>
    <row r="15" spans="1:10" ht="15.75">
      <c r="A15" s="62"/>
      <c r="B15" s="50" t="s">
        <v>251</v>
      </c>
      <c r="C15" s="50" t="str">
        <f>CONCATENATE("Personal Property ",J1-2,"")</f>
        <v>Personal Property 2008</v>
      </c>
      <c r="D15" s="62" t="s">
        <v>247</v>
      </c>
      <c r="E15" s="64">
        <f>inputOth!E14</f>
        <v>4467043</v>
      </c>
      <c r="F15" s="56"/>
      <c r="G15" s="61"/>
      <c r="H15" s="61"/>
      <c r="I15" s="55"/>
      <c r="J15" s="55"/>
    </row>
    <row r="16" spans="1:10" ht="15.75">
      <c r="A16" s="62"/>
      <c r="B16" s="50" t="s">
        <v>252</v>
      </c>
      <c r="C16" s="50" t="s">
        <v>273</v>
      </c>
      <c r="D16" s="50"/>
      <c r="E16" s="55"/>
      <c r="F16" s="55" t="s">
        <v>244</v>
      </c>
      <c r="G16" s="57">
        <f>IF(E14&gt;E15,E14-E15,0)</f>
        <v>0</v>
      </c>
      <c r="H16" s="61"/>
      <c r="I16" s="55"/>
      <c r="J16" s="55"/>
    </row>
    <row r="17" spans="1:10" ht="15.75">
      <c r="A17" s="62"/>
      <c r="B17" s="62"/>
      <c r="C17" s="50"/>
      <c r="D17" s="50"/>
      <c r="E17" s="55"/>
      <c r="F17" s="55"/>
      <c r="G17" s="61" t="s">
        <v>265</v>
      </c>
      <c r="H17" s="61"/>
      <c r="I17" s="55"/>
      <c r="J17" s="55"/>
    </row>
    <row r="18" spans="1:10" ht="15.75">
      <c r="A18" s="62" t="s">
        <v>253</v>
      </c>
      <c r="B18" s="58" t="str">
        <f>CONCATENATE("Valuation of annexed territory for ",J1-1,"")</f>
        <v>Valuation of annexed territory for 2009</v>
      </c>
      <c r="C18" s="50"/>
      <c r="D18" s="50"/>
      <c r="E18" s="61"/>
      <c r="F18" s="55"/>
      <c r="G18" s="55"/>
      <c r="H18" s="55"/>
      <c r="I18" s="55"/>
      <c r="J18" s="55"/>
    </row>
    <row r="19" spans="1:10" ht="15.75">
      <c r="A19" s="62"/>
      <c r="B19" s="50" t="s">
        <v>254</v>
      </c>
      <c r="C19" s="50" t="s">
        <v>275</v>
      </c>
      <c r="D19" s="62" t="s">
        <v>244</v>
      </c>
      <c r="E19" s="60">
        <f>inputOth!E10</f>
        <v>0</v>
      </c>
      <c r="F19" s="55"/>
      <c r="G19" s="55"/>
      <c r="H19" s="55"/>
      <c r="I19" s="55"/>
      <c r="J19" s="55"/>
    </row>
    <row r="20" spans="1:10" ht="15.75">
      <c r="A20" s="62"/>
      <c r="B20" s="50" t="s">
        <v>255</v>
      </c>
      <c r="C20" s="50" t="s">
        <v>276</v>
      </c>
      <c r="D20" s="62" t="s">
        <v>244</v>
      </c>
      <c r="E20" s="60">
        <f>inputOth!E11</f>
        <v>0</v>
      </c>
      <c r="F20" s="55"/>
      <c r="G20" s="61"/>
      <c r="H20" s="61"/>
      <c r="I20" s="55"/>
      <c r="J20" s="55"/>
    </row>
    <row r="21" spans="1:10" ht="15.75">
      <c r="A21" s="62"/>
      <c r="B21" s="50" t="s">
        <v>256</v>
      </c>
      <c r="C21" s="50" t="s">
        <v>272</v>
      </c>
      <c r="D21" s="62" t="s">
        <v>247</v>
      </c>
      <c r="E21" s="60">
        <f>inputOth!E12</f>
        <v>0</v>
      </c>
      <c r="F21" s="55"/>
      <c r="G21" s="61"/>
      <c r="H21" s="61"/>
      <c r="I21" s="55"/>
      <c r="J21" s="55"/>
    </row>
    <row r="22" spans="1:10" ht="15.75">
      <c r="A22" s="62"/>
      <c r="B22" s="50" t="s">
        <v>257</v>
      </c>
      <c r="C22" s="50" t="s">
        <v>277</v>
      </c>
      <c r="D22" s="62"/>
      <c r="E22" s="61"/>
      <c r="F22" s="55" t="s">
        <v>244</v>
      </c>
      <c r="G22" s="57">
        <f>E19+E20-E21</f>
        <v>0</v>
      </c>
      <c r="H22" s="61"/>
      <c r="I22" s="55"/>
      <c r="J22" s="55"/>
    </row>
    <row r="23" spans="1:10" ht="15.75">
      <c r="A23" s="62"/>
      <c r="B23" s="62"/>
      <c r="C23" s="50"/>
      <c r="D23" s="62"/>
      <c r="E23" s="61"/>
      <c r="F23" s="55"/>
      <c r="G23" s="61"/>
      <c r="H23" s="61"/>
      <c r="I23" s="55"/>
      <c r="J23" s="55"/>
    </row>
    <row r="24" spans="1:10" ht="15.75">
      <c r="A24" s="62" t="s">
        <v>258</v>
      </c>
      <c r="B24" s="58" t="str">
        <f>CONCATENATE("Valuation of Property that has Changed in Use during ",J1-1,"")</f>
        <v>Valuation of Property that has Changed in Use during 2009</v>
      </c>
      <c r="C24" s="50"/>
      <c r="D24" s="50"/>
      <c r="E24" s="55"/>
      <c r="F24" s="55"/>
      <c r="G24" s="65">
        <f>inputOth!E13</f>
        <v>1344775</v>
      </c>
      <c r="H24" s="55"/>
      <c r="I24" s="55"/>
      <c r="J24" s="55"/>
    </row>
    <row r="25" spans="1:10" ht="15.75">
      <c r="A25" s="50" t="s">
        <v>132</v>
      </c>
      <c r="B25" s="50"/>
      <c r="C25" s="50"/>
      <c r="D25" s="62"/>
      <c r="E25" s="61"/>
      <c r="F25" s="55"/>
      <c r="G25" s="66"/>
      <c r="H25" s="61"/>
      <c r="I25" s="55"/>
      <c r="J25" s="55"/>
    </row>
    <row r="26" spans="1:10" ht="15.75">
      <c r="A26" s="62" t="s">
        <v>259</v>
      </c>
      <c r="B26" s="58" t="s">
        <v>278</v>
      </c>
      <c r="C26" s="50"/>
      <c r="D26" s="50"/>
      <c r="E26" s="55"/>
      <c r="F26" s="55"/>
      <c r="G26" s="57">
        <f>G11+G16+G22+G24</f>
        <v>3908756</v>
      </c>
      <c r="H26" s="61"/>
      <c r="I26" s="55"/>
      <c r="J26" s="55"/>
    </row>
    <row r="27" spans="1:10" ht="15.75">
      <c r="A27" s="62"/>
      <c r="B27" s="62"/>
      <c r="C27" s="58"/>
      <c r="D27" s="50"/>
      <c r="E27" s="55"/>
      <c r="F27" s="55"/>
      <c r="G27" s="61"/>
      <c r="H27" s="61"/>
      <c r="I27" s="55"/>
      <c r="J27" s="55"/>
    </row>
    <row r="28" spans="1:10" ht="15.75">
      <c r="A28" s="62" t="s">
        <v>260</v>
      </c>
      <c r="B28" s="50" t="str">
        <f>CONCATENATE("Total Estimated Valuation July 1,",J1-1,"")</f>
        <v>Total Estimated Valuation July 1,2009</v>
      </c>
      <c r="C28" s="50"/>
      <c r="D28" s="50"/>
      <c r="E28" s="57">
        <f>inputOth!E6</f>
        <v>54499845</v>
      </c>
      <c r="F28" s="55"/>
      <c r="G28" s="55"/>
      <c r="H28" s="55"/>
      <c r="I28" s="56"/>
      <c r="J28" s="55"/>
    </row>
    <row r="29" spans="1:10" ht="15.75">
      <c r="A29" s="62"/>
      <c r="B29" s="62"/>
      <c r="C29" s="50"/>
      <c r="D29" s="50"/>
      <c r="E29" s="61"/>
      <c r="F29" s="55"/>
      <c r="G29" s="55"/>
      <c r="H29" s="55"/>
      <c r="I29" s="56"/>
      <c r="J29" s="55"/>
    </row>
    <row r="30" spans="1:10" ht="15.75">
      <c r="A30" s="62" t="s">
        <v>261</v>
      </c>
      <c r="B30" s="58" t="s">
        <v>279</v>
      </c>
      <c r="C30" s="50"/>
      <c r="D30" s="50"/>
      <c r="E30" s="55"/>
      <c r="F30" s="55"/>
      <c r="G30" s="57">
        <f>E28-G26</f>
        <v>50591089</v>
      </c>
      <c r="H30" s="61"/>
      <c r="I30" s="56"/>
      <c r="J30" s="55"/>
    </row>
    <row r="31" spans="1:10" ht="15.75">
      <c r="A31" s="62"/>
      <c r="B31" s="62"/>
      <c r="C31" s="58"/>
      <c r="D31" s="50"/>
      <c r="E31" s="50"/>
      <c r="F31" s="50"/>
      <c r="G31" s="67"/>
      <c r="H31" s="68"/>
      <c r="I31" s="62"/>
      <c r="J31" s="50"/>
    </row>
    <row r="32" spans="1:10" ht="15.75">
      <c r="A32" s="62" t="s">
        <v>262</v>
      </c>
      <c r="B32" s="50" t="s">
        <v>280</v>
      </c>
      <c r="C32" s="50"/>
      <c r="D32" s="50"/>
      <c r="E32" s="50"/>
      <c r="F32" s="50"/>
      <c r="G32" s="69">
        <f>IF(G30&gt;0,G26/G30,0)</f>
        <v>0.07726174860556966</v>
      </c>
      <c r="H32" s="68"/>
      <c r="I32" s="50"/>
      <c r="J32" s="50"/>
    </row>
    <row r="33" spans="1:10" ht="15.75">
      <c r="A33" s="62"/>
      <c r="B33" s="62"/>
      <c r="C33" s="50"/>
      <c r="D33" s="50"/>
      <c r="E33" s="50"/>
      <c r="F33" s="50"/>
      <c r="G33" s="68"/>
      <c r="H33" s="68"/>
      <c r="I33" s="50"/>
      <c r="J33" s="50"/>
    </row>
    <row r="34" spans="1:10" ht="15.75">
      <c r="A34" s="62" t="s">
        <v>263</v>
      </c>
      <c r="B34" s="50" t="s">
        <v>281</v>
      </c>
      <c r="C34" s="50"/>
      <c r="D34" s="50"/>
      <c r="E34" s="50"/>
      <c r="F34" s="50"/>
      <c r="G34" s="68"/>
      <c r="H34" s="70" t="s">
        <v>244</v>
      </c>
      <c r="I34" s="50" t="s">
        <v>245</v>
      </c>
      <c r="J34" s="57">
        <f>ROUND(G32*J7,0)</f>
        <v>141143</v>
      </c>
    </row>
    <row r="35" spans="1:10" ht="15.75">
      <c r="A35" s="62"/>
      <c r="B35" s="62"/>
      <c r="C35" s="50"/>
      <c r="D35" s="50"/>
      <c r="E35" s="50"/>
      <c r="F35" s="50"/>
      <c r="G35" s="68"/>
      <c r="H35" s="70"/>
      <c r="I35" s="50"/>
      <c r="J35" s="61"/>
    </row>
    <row r="36" spans="1:10" ht="16.5" thickBot="1">
      <c r="A36" s="62" t="s">
        <v>264</v>
      </c>
      <c r="B36" s="58" t="s">
        <v>287</v>
      </c>
      <c r="C36" s="50"/>
      <c r="D36" s="50"/>
      <c r="E36" s="50"/>
      <c r="F36" s="50"/>
      <c r="G36" s="50"/>
      <c r="H36" s="50"/>
      <c r="I36" s="50" t="s">
        <v>245</v>
      </c>
      <c r="J36" s="71">
        <f>J7+J34</f>
        <v>1967956</v>
      </c>
    </row>
    <row r="37" spans="1:10" ht="16.5" thickTop="1">
      <c r="A37" s="50"/>
      <c r="B37" s="50"/>
      <c r="C37" s="50"/>
      <c r="D37" s="50"/>
      <c r="E37" s="50"/>
      <c r="F37" s="50"/>
      <c r="G37" s="50"/>
      <c r="H37" s="50"/>
      <c r="I37" s="50"/>
      <c r="J37" s="50"/>
    </row>
    <row r="38" spans="1:10" ht="15.75">
      <c r="A38" s="62" t="s">
        <v>285</v>
      </c>
      <c r="B38" s="58" t="str">
        <f>CONCATENATE("Debt Service in this ",J1," Budget")</f>
        <v>Debt Service in this 2010 Budget</v>
      </c>
      <c r="C38" s="50"/>
      <c r="D38" s="50"/>
      <c r="E38" s="50"/>
      <c r="F38" s="50"/>
      <c r="G38" s="50"/>
      <c r="H38" s="50"/>
      <c r="I38" s="50"/>
      <c r="J38" s="207">
        <f>DebtService!G60</f>
        <v>224909.97999999998</v>
      </c>
    </row>
    <row r="39" spans="1:10" ht="15.75">
      <c r="A39" s="62"/>
      <c r="B39" s="58"/>
      <c r="C39" s="50"/>
      <c r="D39" s="50"/>
      <c r="E39" s="50"/>
      <c r="F39" s="50"/>
      <c r="G39" s="50"/>
      <c r="H39" s="50"/>
      <c r="I39" s="50"/>
      <c r="J39" s="68"/>
    </row>
    <row r="40" spans="1:10" ht="16.5" thickBot="1">
      <c r="A40" s="62" t="s">
        <v>286</v>
      </c>
      <c r="B40" s="58" t="s">
        <v>288</v>
      </c>
      <c r="C40" s="50"/>
      <c r="D40" s="50"/>
      <c r="E40" s="50"/>
      <c r="F40" s="50"/>
      <c r="G40" s="50"/>
      <c r="H40" s="50"/>
      <c r="I40" s="50"/>
      <c r="J40" s="71">
        <f>J36+J38</f>
        <v>2192865.98</v>
      </c>
    </row>
    <row r="41" spans="1:10" ht="16.5" thickTop="1">
      <c r="A41" s="50"/>
      <c r="B41" s="50"/>
      <c r="C41" s="50"/>
      <c r="D41" s="50"/>
      <c r="E41" s="50"/>
      <c r="F41" s="50"/>
      <c r="G41" s="50"/>
      <c r="H41" s="50"/>
      <c r="I41" s="50"/>
      <c r="J41" s="50"/>
    </row>
    <row r="42" spans="1:10" s="19" customFormat="1" ht="18.75">
      <c r="A42" s="441" t="str">
        <f>CONCATENATE("If the ",J1," budget includes tax levies exceeding the total on line 15, you must")</f>
        <v>If the 2010 budget includes tax levies exceeding the total on line 15, you must</v>
      </c>
      <c r="B42" s="441"/>
      <c r="C42" s="441"/>
      <c r="D42" s="441"/>
      <c r="E42" s="441"/>
      <c r="F42" s="441"/>
      <c r="G42" s="441"/>
      <c r="H42" s="441"/>
      <c r="I42" s="441"/>
      <c r="J42" s="441"/>
    </row>
    <row r="43" spans="1:10" s="19" customFormat="1" ht="18.75">
      <c r="A43" s="441" t="s">
        <v>370</v>
      </c>
      <c r="B43" s="441"/>
      <c r="C43" s="441"/>
      <c r="D43" s="441"/>
      <c r="E43" s="441"/>
      <c r="F43" s="441"/>
      <c r="G43" s="441"/>
      <c r="H43" s="441"/>
      <c r="I43" s="441"/>
      <c r="J43" s="441"/>
    </row>
    <row r="44" spans="1:10" s="19" customFormat="1" ht="18.75">
      <c r="A44" s="441" t="s">
        <v>371</v>
      </c>
      <c r="B44" s="441"/>
      <c r="C44" s="441"/>
      <c r="D44" s="441"/>
      <c r="E44" s="441"/>
      <c r="F44" s="441"/>
      <c r="G44" s="441"/>
      <c r="H44" s="441"/>
      <c r="I44" s="441"/>
      <c r="J44" s="441"/>
    </row>
  </sheetData>
  <sheetProtection sheet="1" objects="1" scenarios="1"/>
  <mergeCells count="5">
    <mergeCell ref="A42:J42"/>
    <mergeCell ref="A44:J44"/>
    <mergeCell ref="A3:J3"/>
    <mergeCell ref="E4:G4"/>
    <mergeCell ref="A43:J43"/>
  </mergeCells>
  <printOptions/>
  <pageMargins left="0.5" right="0.5" top="1" bottom="0.5" header="0.5" footer="0.5"/>
  <pageSetup blackAndWhite="1" fitToHeight="1" fitToWidth="1" horizontalDpi="600" verticalDpi="600" orientation="portrait" scale="85" r:id="rId1"/>
  <headerFooter alignWithMargins="0">
    <oddHeader>&amp;RState of Kansas
City
</oddHeader>
    <oddFooter>&amp;Lrevised 8/06/07&amp;CPage No. 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9"/>
  <sheetViews>
    <sheetView zoomScalePageLayoutView="0" workbookViewId="0" topLeftCell="A19">
      <selection activeCell="F28" sqref="F28"/>
    </sheetView>
  </sheetViews>
  <sheetFormatPr defaultColWidth="8.796875" defaultRowHeight="15"/>
  <cols>
    <col min="1" max="1" width="17.8984375" style="7" customWidth="1"/>
    <col min="2" max="2" width="16.09765625" style="7" customWidth="1"/>
    <col min="3" max="5" width="12.796875" style="7" customWidth="1"/>
    <col min="6" max="6" width="10.19921875" style="7" customWidth="1"/>
    <col min="7" max="16384" width="8.8984375" style="7" customWidth="1"/>
  </cols>
  <sheetData>
    <row r="1" spans="1:6" ht="15.75">
      <c r="A1" s="72" t="str">
        <f>inputPrYr!D2</f>
        <v>CITY OF PARK CITY</v>
      </c>
      <c r="B1" s="72"/>
      <c r="C1" s="21"/>
      <c r="D1" s="21"/>
      <c r="E1" s="21"/>
      <c r="F1" s="21">
        <f>inputPrYr!C5</f>
        <v>2010</v>
      </c>
    </row>
    <row r="2" spans="1:6" ht="15.75">
      <c r="A2" s="21"/>
      <c r="B2" s="21"/>
      <c r="C2" s="21"/>
      <c r="D2" s="21"/>
      <c r="E2" s="21"/>
      <c r="F2" s="21"/>
    </row>
    <row r="3" spans="1:6" ht="15.75">
      <c r="A3" s="444" t="s">
        <v>14</v>
      </c>
      <c r="B3" s="444"/>
      <c r="C3" s="444"/>
      <c r="D3" s="444"/>
      <c r="E3" s="444"/>
      <c r="F3" s="21"/>
    </row>
    <row r="4" spans="1:6" ht="15.75">
      <c r="A4" s="21"/>
      <c r="B4" s="129"/>
      <c r="C4" s="129"/>
      <c r="D4" s="129"/>
      <c r="E4" s="21"/>
      <c r="F4" s="21"/>
    </row>
    <row r="5" spans="1:6" ht="21" customHeight="1">
      <c r="A5" s="76" t="s">
        <v>369</v>
      </c>
      <c r="B5" s="205" t="s">
        <v>368</v>
      </c>
      <c r="C5" s="445" t="str">
        <f>CONCATENATE("Allocation for Year ",F1,"")</f>
        <v>Allocation for Year 2010</v>
      </c>
      <c r="D5" s="446"/>
      <c r="E5" s="446"/>
      <c r="F5" s="447"/>
    </row>
    <row r="6" spans="1:6" ht="15.75">
      <c r="A6" s="80" t="str">
        <f>CONCATENATE("for ",F1-1,"")</f>
        <v>for 2009</v>
      </c>
      <c r="B6" s="80" t="str">
        <f>CONCATENATE("for ",F1-1,"")</f>
        <v>for 2009</v>
      </c>
      <c r="C6" s="36" t="s">
        <v>237</v>
      </c>
      <c r="D6" s="36" t="s">
        <v>238</v>
      </c>
      <c r="E6" s="36" t="s">
        <v>236</v>
      </c>
      <c r="F6" s="82" t="s">
        <v>337</v>
      </c>
    </row>
    <row r="7" spans="1:6" ht="15.75">
      <c r="A7" s="40" t="str">
        <f>(inputPrYr!B16)</f>
        <v>General</v>
      </c>
      <c r="B7" s="140">
        <f>(inputPrYr!E16)</f>
        <v>850434</v>
      </c>
      <c r="C7" s="140">
        <f>IF(inputPrYr!D16=0,0,C21-SUM(C8:C18))</f>
        <v>104075.84</v>
      </c>
      <c r="D7" s="140">
        <f>IF(inputPrYr!D16=0,0,D22-SUM(D8:D18))</f>
        <v>1662.44</v>
      </c>
      <c r="E7" s="140">
        <f>IF(inputPrYr!D16=0,0,E23-SUM(E8:E18))</f>
        <v>682.1099999999999</v>
      </c>
      <c r="F7" s="140">
        <f>IF(inputPrYr!D16=0,0,F24-SUM(F8:F18))</f>
        <v>0</v>
      </c>
    </row>
    <row r="8" spans="1:6" ht="15.75">
      <c r="A8" s="40" t="str">
        <f>IF(inputPrYr!$B17&gt;"  ",(inputPrYr!$B17),"  ")</f>
        <v>Debt Service</v>
      </c>
      <c r="B8" s="140">
        <f>IF(inputPrYr!$E17&gt;0,(inputPrYr!$E17),"  ")</f>
        <v>144300</v>
      </c>
      <c r="C8" s="140">
        <f>IF(inputPrYr!D17&gt;0,ROUND(B8*$C$25,0),"  ")</f>
        <v>17660</v>
      </c>
      <c r="D8" s="140">
        <f>IF(inputPrYr!D17&gt;0,ROUND(+B8*D$26,0)," ")</f>
        <v>282</v>
      </c>
      <c r="E8" s="140">
        <f>IF(inputPrYr!D17&gt;0,ROUND(B8*E$27,0)," ")</f>
        <v>115</v>
      </c>
      <c r="F8" s="140">
        <f>IF(inputPrYr!D17&gt;0,ROUND(B8*F$28,0)," ")</f>
        <v>0</v>
      </c>
    </row>
    <row r="9" spans="1:6" ht="15.75">
      <c r="A9" s="40" t="str">
        <f>IF(inputPrYr!$B19&gt;"  ",(inputPrYr!$B19),"  ")</f>
        <v>Bond &amp; Interest-Ballfield Lgts</v>
      </c>
      <c r="B9" s="140">
        <f>IF(inputPrYr!$E19&gt;0,(inputPrYr!$E19),"  ")</f>
        <v>6725</v>
      </c>
      <c r="C9" s="140">
        <f>IF(inputPrYr!D19&gt;0,ROUND(B9*$C$25,0),"  ")</f>
        <v>823</v>
      </c>
      <c r="D9" s="140">
        <f>IF(inputPrYr!D19&gt;0,ROUND(+B9*D$26,0)," ")</f>
        <v>13</v>
      </c>
      <c r="E9" s="140">
        <f>IF(inputPrYr!D19&gt;0,ROUND(+B9*E$27,0)," ")</f>
        <v>5</v>
      </c>
      <c r="F9" s="140">
        <f>IF(inputPrYr!D19&gt;0,ROUND(+B9*F$28,0)," ")</f>
        <v>0</v>
      </c>
    </row>
    <row r="10" spans="1:6" ht="15.75">
      <c r="A10" s="40" t="str">
        <f>IF(inputPrYr!$B20&gt;"  ",(inputPrYr!$B20),"  ")</f>
        <v>Employee Benefit Fund</v>
      </c>
      <c r="B10" s="140">
        <f>IF(inputPrYr!$E20&gt;0,(inputPrYr!$E20),"  ")</f>
        <v>786485</v>
      </c>
      <c r="C10" s="140">
        <f>IF(inputPrYr!D20&gt;0,ROUND(B10*$C$25,0),"  ")</f>
        <v>96251</v>
      </c>
      <c r="D10" s="140">
        <f>IF(inputPrYr!D20&gt;0,ROUND(+B10*D$26,0)," ")</f>
        <v>1537</v>
      </c>
      <c r="E10" s="140">
        <f>IF(inputPrYr!D20&gt;0,ROUND(+B10*E$27,0)," ")</f>
        <v>629</v>
      </c>
      <c r="F10" s="140">
        <f>IF(inputPrYr!D20&gt;0,ROUND(+B10*F$28,0)," ")</f>
        <v>0</v>
      </c>
    </row>
    <row r="11" spans="1:6" ht="15.75">
      <c r="A11" s="40" t="str">
        <f>IF(inputPrYr!$B21&gt;"  ",(inputPrYr!$B21),"  ")</f>
        <v>Library Fund</v>
      </c>
      <c r="B11" s="140">
        <f>IF(inputPrYr!$E21&gt;0,(inputPrYr!$E21),"  ")</f>
        <v>157971</v>
      </c>
      <c r="C11" s="140">
        <f>IF(inputPrYr!D21&gt;0,ROUND(B11*$C$25,0),"  ")</f>
        <v>19333</v>
      </c>
      <c r="D11" s="140">
        <f>IF(inputPrYr!D21&gt;0,ROUND(+B11*D$26,0)," ")</f>
        <v>309</v>
      </c>
      <c r="E11" s="140">
        <f>IF(inputPrYr!D21&gt;0,ROUND(+B11*E$27,0)," ")</f>
        <v>126</v>
      </c>
      <c r="F11" s="140">
        <f>IF(inputPrYr!D21&gt;0,ROUND(+B11*F$28,0)," ")</f>
        <v>0</v>
      </c>
    </row>
    <row r="12" spans="1:6" ht="15.75">
      <c r="A12" s="40" t="str">
        <f>IF(inputPrYr!$B22&gt;"  ",(inputPrYr!$B22),"  ")</f>
        <v>Library Employee Benefits</v>
      </c>
      <c r="B12" s="140">
        <f>IF(inputPrYr!$E22&gt;0,(inputPrYr!$E22),"  ")</f>
        <v>25198</v>
      </c>
      <c r="C12" s="140">
        <f>IF(inputPrYr!D22&gt;0,ROUND(B12*$C$25,0),"  ")</f>
        <v>3084</v>
      </c>
      <c r="D12" s="140">
        <f>IF(inputPrYr!D22&gt;0,ROUND(+B12*D$26,0)," ")</f>
        <v>49</v>
      </c>
      <c r="E12" s="140">
        <f>IF(inputPrYr!D22&gt;0,ROUND(+B12*E$27,0)," ")</f>
        <v>20</v>
      </c>
      <c r="F12" s="140">
        <f>IF(inputPrYr!D22&gt;0,ROUND(+B12*F$28,0)," ")</f>
        <v>0</v>
      </c>
    </row>
    <row r="13" spans="1:6" ht="15.75">
      <c r="A13" s="40" t="str">
        <f>IF(inputPrYr!$B23&gt;"  ",(inputPrYr!$B23),"  ")</f>
        <v>  </v>
      </c>
      <c r="B13" s="140" t="str">
        <f>IF(inputPrYr!$E23&gt;0,(inputPrYr!$E23),"  ")</f>
        <v>  </v>
      </c>
      <c r="C13" s="140" t="str">
        <f>IF(inputPrYr!D23&gt;0,ROUND(B13*$C$25,0),"  ")</f>
        <v>  </v>
      </c>
      <c r="D13" s="140" t="str">
        <f>IF(inputPrYr!D23&gt;0,ROUND(+B13*D$26,0)," ")</f>
        <v> </v>
      </c>
      <c r="E13" s="140" t="str">
        <f>IF(inputPrYr!D23&gt;0,ROUND(+B13*E$27,0)," ")</f>
        <v> </v>
      </c>
      <c r="F13" s="140" t="str">
        <f>IF(inputPrYr!D23&gt;0,ROUND(+B13*F$28,0)," ")</f>
        <v> </v>
      </c>
    </row>
    <row r="14" spans="1:6" ht="15.75">
      <c r="A14" s="40" t="str">
        <f>IF(inputPrYr!$B24&gt;"  ",(inputPrYr!$B24),"  ")</f>
        <v>  </v>
      </c>
      <c r="B14" s="140" t="str">
        <f>IF(inputPrYr!$E24&gt;0,(inputPrYr!$E24),"  ")</f>
        <v>  </v>
      </c>
      <c r="C14" s="140" t="str">
        <f>IF(inputPrYr!D24&gt;0,ROUND(B14*$C$25,0),"  ")</f>
        <v>  </v>
      </c>
      <c r="D14" s="140" t="str">
        <f>IF(inputPrYr!D24&gt;0,ROUND(+B14*D$26,0)," ")</f>
        <v> </v>
      </c>
      <c r="E14" s="140" t="str">
        <f>IF(inputPrYr!D24&gt;0,ROUND(+B14*E$27,0)," ")</f>
        <v> </v>
      </c>
      <c r="F14" s="140" t="str">
        <f>IF(inputPrYr!D24&gt;0,ROUND(+B14*F$28,0)," ")</f>
        <v> </v>
      </c>
    </row>
    <row r="15" spans="1:6" ht="15.75">
      <c r="A15" s="40" t="str">
        <f>IF(inputPrYr!$B25&gt;"  ",(inputPrYr!$B25),"  ")</f>
        <v>  </v>
      </c>
      <c r="B15" s="140" t="str">
        <f>IF(inputPrYr!$E25&gt;0,(inputPrYr!$E25),"  ")</f>
        <v>  </v>
      </c>
      <c r="C15" s="140" t="str">
        <f>IF(inputPrYr!D25&gt;0,ROUND(B15*$C$25,0),"  ")</f>
        <v>  </v>
      </c>
      <c r="D15" s="140" t="str">
        <f>IF(inputPrYr!D25&gt;0,ROUND(+B15*D$26,0)," ")</f>
        <v> </v>
      </c>
      <c r="E15" s="140" t="str">
        <f>IF(inputPrYr!D25&gt;0,ROUND(+B15*E$27,0)," ")</f>
        <v> </v>
      </c>
      <c r="F15" s="140" t="str">
        <f>IF(inputPrYr!D25&gt;0,ROUND(+B15*F$28,0)," ")</f>
        <v> </v>
      </c>
    </row>
    <row r="16" spans="1:6" ht="15.75">
      <c r="A16" s="40" t="str">
        <f>IF(inputPrYr!$B26&gt;"  ",(inputPrYr!$B26),"  ")</f>
        <v>  </v>
      </c>
      <c r="B16" s="140" t="str">
        <f>IF(inputPrYr!$E26&gt;0,(inputPrYr!$E26),"  ")</f>
        <v>  </v>
      </c>
      <c r="C16" s="140" t="str">
        <f>IF(inputPrYr!D26&gt;0,ROUND(B16*$C$25,0),"  ")</f>
        <v>  </v>
      </c>
      <c r="D16" s="140" t="str">
        <f>IF(inputPrYr!D26&gt;0,ROUND(+B16*D$26,0)," ")</f>
        <v> </v>
      </c>
      <c r="E16" s="140" t="str">
        <f>IF(inputPrYr!D26&gt;0,ROUND(+B16*E$27,0)," ")</f>
        <v> </v>
      </c>
      <c r="F16" s="140" t="str">
        <f>IF(inputPrYr!D26&gt;0,ROUND(+B16*F$28,0)," ")</f>
        <v> </v>
      </c>
    </row>
    <row r="17" spans="1:6" ht="15.75">
      <c r="A17" s="40" t="str">
        <f>IF(inputPrYr!$B27&gt;"  ",(inputPrYr!$B27),"  ")</f>
        <v>  </v>
      </c>
      <c r="B17" s="140" t="str">
        <f>IF(inputPrYr!$E27&gt;0,(inputPrYr!$E27),"  ")</f>
        <v>  </v>
      </c>
      <c r="C17" s="140" t="str">
        <f>IF(inputPrYr!D27&gt;0,ROUND(B17*$C$25,0),"  ")</f>
        <v>  </v>
      </c>
      <c r="D17" s="140" t="str">
        <f>IF(inputPrYr!D27&gt;0,ROUND(+B17*D$26,0)," ")</f>
        <v> </v>
      </c>
      <c r="E17" s="140" t="str">
        <f>IF(inputPrYr!D27&gt;0,ROUND(+B17*E$27,0)," ")</f>
        <v> </v>
      </c>
      <c r="F17" s="140" t="str">
        <f>IF(inputPrYr!D27&gt;0,ROUND(+B17*F$28,0)," ")</f>
        <v> </v>
      </c>
    </row>
    <row r="18" spans="1:6" ht="15.75">
      <c r="A18" s="40" t="str">
        <f>IF(inputPrYr!$B28&gt;"  ",(inputPrYr!$B28),"  ")</f>
        <v>  </v>
      </c>
      <c r="B18" s="140" t="str">
        <f>IF(inputPrYr!$E28&gt;0,(inputPrYr!$E28),"  ")</f>
        <v>  </v>
      </c>
      <c r="C18" s="140" t="str">
        <f>IF(inputPrYr!D28&gt;0,ROUND(B18*$C$25,0),"  ")</f>
        <v>  </v>
      </c>
      <c r="D18" s="140" t="str">
        <f>IF(inputPrYr!D28&gt;0,ROUND(+B18*D$26,0)," ")</f>
        <v> </v>
      </c>
      <c r="E18" s="140" t="str">
        <f>IF(inputPrYr!D28&gt;0,ROUND(+B18*E$27,0)," ")</f>
        <v> </v>
      </c>
      <c r="F18" s="140" t="str">
        <f>IF(inputPrYr!D28&gt;0,ROUND(+B18*F$28,0)," ")</f>
        <v> </v>
      </c>
    </row>
    <row r="19" spans="1:6" ht="16.5" thickBot="1">
      <c r="A19" s="21" t="s">
        <v>151</v>
      </c>
      <c r="B19" s="270">
        <f>SUM(B7:B18)</f>
        <v>1971113</v>
      </c>
      <c r="C19" s="270">
        <f>SUM(C7:C18)</f>
        <v>241226.84</v>
      </c>
      <c r="D19" s="270">
        <f>SUM(D7:D18)</f>
        <v>3852.44</v>
      </c>
      <c r="E19" s="270">
        <f>SUM(E7:E18)</f>
        <v>1577.11</v>
      </c>
      <c r="F19" s="356">
        <f>SUM(F7:F18)</f>
        <v>0</v>
      </c>
    </row>
    <row r="20" spans="1:6" ht="16.5" thickTop="1">
      <c r="A20" s="21"/>
      <c r="B20" s="138"/>
      <c r="C20" s="138"/>
      <c r="D20" s="138"/>
      <c r="E20" s="138"/>
      <c r="F20" s="21"/>
    </row>
    <row r="21" spans="1:6" ht="15.75">
      <c r="A21" s="25" t="s">
        <v>152</v>
      </c>
      <c r="B21" s="94"/>
      <c r="C21" s="74">
        <f>(inputOth!E37)</f>
        <v>241226.84</v>
      </c>
      <c r="D21" s="94"/>
      <c r="E21" s="21"/>
      <c r="F21" s="21"/>
    </row>
    <row r="22" spans="1:6" ht="15.75">
      <c r="A22" s="25" t="s">
        <v>153</v>
      </c>
      <c r="B22" s="21"/>
      <c r="C22" s="21"/>
      <c r="D22" s="74">
        <f>(inputOth!E38)</f>
        <v>3852.44</v>
      </c>
      <c r="E22" s="21"/>
      <c r="F22" s="21"/>
    </row>
    <row r="23" spans="1:6" ht="15.75">
      <c r="A23" s="25" t="s">
        <v>239</v>
      </c>
      <c r="B23" s="21"/>
      <c r="C23" s="21"/>
      <c r="D23" s="21"/>
      <c r="E23" s="74">
        <f>inputOth!E39</f>
        <v>1577.11</v>
      </c>
      <c r="F23" s="21"/>
    </row>
    <row r="24" spans="1:6" ht="15.75">
      <c r="A24" s="25" t="s">
        <v>10</v>
      </c>
      <c r="B24" s="21"/>
      <c r="C24" s="21"/>
      <c r="D24" s="21"/>
      <c r="E24" s="138"/>
      <c r="F24" s="60">
        <f>inputOth!E42</f>
        <v>0</v>
      </c>
    </row>
    <row r="25" spans="1:6" ht="15.75">
      <c r="A25" s="25" t="s">
        <v>154</v>
      </c>
      <c r="B25" s="21"/>
      <c r="C25" s="271">
        <f>IF(B19=0,0,C21/B19)</f>
        <v>0.1223810304127668</v>
      </c>
      <c r="D25" s="21"/>
      <c r="E25" s="21"/>
      <c r="F25" s="21"/>
    </row>
    <row r="26" spans="1:6" ht="15.75">
      <c r="A26" s="21"/>
      <c r="B26" s="25" t="s">
        <v>155</v>
      </c>
      <c r="C26" s="21"/>
      <c r="D26" s="271">
        <f>IF(B19=0,0,D22/B19)</f>
        <v>0.0019544490853644616</v>
      </c>
      <c r="E26" s="21"/>
      <c r="F26" s="21"/>
    </row>
    <row r="27" spans="1:6" ht="15.75">
      <c r="A27" s="21"/>
      <c r="B27" s="21"/>
      <c r="C27" s="25" t="s">
        <v>240</v>
      </c>
      <c r="D27" s="21"/>
      <c r="E27" s="271">
        <f>IF(B19=0,0,E23/B19)</f>
        <v>0.0008001114091378829</v>
      </c>
      <c r="F27" s="21"/>
    </row>
    <row r="28" spans="1:6" ht="15.75">
      <c r="A28" s="21"/>
      <c r="B28" s="21"/>
      <c r="C28" s="21"/>
      <c r="D28" s="21" t="s">
        <v>11</v>
      </c>
      <c r="E28" s="21"/>
      <c r="F28" s="271">
        <f>IF(B19=0,0,F24/B19)</f>
        <v>0</v>
      </c>
    </row>
    <row r="29" spans="1:6" ht="15.75">
      <c r="A29" s="170"/>
      <c r="B29" s="170"/>
      <c r="C29" s="170"/>
      <c r="D29" s="170"/>
      <c r="E29" s="170"/>
      <c r="F29" s="170"/>
    </row>
  </sheetData>
  <sheetProtection sheet="1" objects="1" scenarios="1"/>
  <mergeCells count="2">
    <mergeCell ref="A3:E3"/>
    <mergeCell ref="C5:F5"/>
  </mergeCells>
  <printOptions/>
  <pageMargins left="0.5" right="0.5" top="1" bottom="0.5" header="0.5" footer="0.5"/>
  <pageSetup blackAndWhite="1" fitToHeight="1" fitToWidth="1" horizontalDpi="120" verticalDpi="120" orientation="portrait" scale="97" r:id="rId1"/>
  <headerFooter alignWithMargins="0">
    <oddHeader>&amp;RState of Kansas
City
</oddHeader>
    <oddFooter>&amp;Lrevised 8/06/07&amp;CPage No. 3</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47"/>
  <sheetViews>
    <sheetView zoomScalePageLayoutView="0" workbookViewId="0" topLeftCell="A1">
      <selection activeCell="J39" sqref="J39"/>
    </sheetView>
  </sheetViews>
  <sheetFormatPr defaultColWidth="8.796875" defaultRowHeight="15"/>
  <cols>
    <col min="1" max="2" width="17.796875" style="2" customWidth="1"/>
    <col min="3" max="6" width="12.796875" style="2" customWidth="1"/>
    <col min="7" max="16384" width="8.8984375" style="2" customWidth="1"/>
  </cols>
  <sheetData>
    <row r="1" spans="1:6" ht="15.75">
      <c r="A1" s="51" t="str">
        <f>inputPrYr!D2</f>
        <v>CITY OF PARK CITY</v>
      </c>
      <c r="B1" s="51"/>
      <c r="C1" s="50"/>
      <c r="D1" s="50"/>
      <c r="E1" s="50"/>
      <c r="F1" s="50">
        <f>inputPrYr!$C$5</f>
        <v>2010</v>
      </c>
    </row>
    <row r="2" spans="1:6" ht="15.75">
      <c r="A2" s="50"/>
      <c r="B2" s="50"/>
      <c r="C2" s="50"/>
      <c r="D2" s="50"/>
      <c r="E2" s="50"/>
      <c r="F2" s="50"/>
    </row>
    <row r="3" spans="1:6" ht="15.75">
      <c r="A3" s="448" t="s">
        <v>294</v>
      </c>
      <c r="B3" s="448"/>
      <c r="C3" s="448"/>
      <c r="D3" s="448"/>
      <c r="E3" s="448"/>
      <c r="F3" s="448"/>
    </row>
    <row r="4" spans="1:6" ht="15.75">
      <c r="A4" s="134"/>
      <c r="B4" s="134"/>
      <c r="C4" s="134"/>
      <c r="D4" s="134"/>
      <c r="E4" s="134"/>
      <c r="F4" s="134"/>
    </row>
    <row r="5" spans="1:6" ht="15.75">
      <c r="A5" s="135" t="s">
        <v>311</v>
      </c>
      <c r="B5" s="135" t="s">
        <v>311</v>
      </c>
      <c r="C5" s="135" t="s">
        <v>181</v>
      </c>
      <c r="D5" s="135" t="s">
        <v>312</v>
      </c>
      <c r="E5" s="135" t="s">
        <v>313</v>
      </c>
      <c r="F5" s="135" t="s">
        <v>358</v>
      </c>
    </row>
    <row r="6" spans="1:6" ht="15.75">
      <c r="A6" s="201" t="s">
        <v>359</v>
      </c>
      <c r="B6" s="201" t="s">
        <v>360</v>
      </c>
      <c r="C6" s="201" t="s">
        <v>361</v>
      </c>
      <c r="D6" s="201" t="s">
        <v>361</v>
      </c>
      <c r="E6" s="201" t="s">
        <v>361</v>
      </c>
      <c r="F6" s="201" t="s">
        <v>362</v>
      </c>
    </row>
    <row r="7" spans="1:6" ht="15" customHeight="1">
      <c r="A7" s="202" t="s">
        <v>363</v>
      </c>
      <c r="B7" s="202" t="s">
        <v>364</v>
      </c>
      <c r="C7" s="148">
        <f>F1-2</f>
        <v>2008</v>
      </c>
      <c r="D7" s="148">
        <f>F1-1</f>
        <v>2009</v>
      </c>
      <c r="E7" s="148">
        <f>F1</f>
        <v>2010</v>
      </c>
      <c r="F7" s="202" t="s">
        <v>365</v>
      </c>
    </row>
    <row r="8" spans="1:6" ht="14.25" customHeight="1">
      <c r="A8" s="136" t="s">
        <v>469</v>
      </c>
      <c r="B8" s="136" t="s">
        <v>454</v>
      </c>
      <c r="C8" s="209">
        <v>15500</v>
      </c>
      <c r="D8" s="209">
        <v>5000</v>
      </c>
      <c r="E8" s="209">
        <v>5000</v>
      </c>
      <c r="F8" s="421" t="s">
        <v>490</v>
      </c>
    </row>
    <row r="9" spans="1:6" ht="14.25" customHeight="1">
      <c r="A9" s="136" t="s">
        <v>771</v>
      </c>
      <c r="B9" s="136" t="s">
        <v>454</v>
      </c>
      <c r="C9" s="209"/>
      <c r="D9" s="209"/>
      <c r="E9" s="209">
        <v>5032</v>
      </c>
      <c r="F9" s="421" t="s">
        <v>490</v>
      </c>
    </row>
    <row r="10" spans="1:6" ht="15" customHeight="1">
      <c r="A10" s="136" t="s">
        <v>470</v>
      </c>
      <c r="B10" s="136" t="s">
        <v>454</v>
      </c>
      <c r="C10" s="210">
        <v>2200</v>
      </c>
      <c r="D10" s="210">
        <v>5098</v>
      </c>
      <c r="E10" s="210">
        <v>4085</v>
      </c>
      <c r="F10" s="421" t="s">
        <v>490</v>
      </c>
    </row>
    <row r="11" spans="1:6" ht="15" customHeight="1">
      <c r="A11" s="136" t="s">
        <v>476</v>
      </c>
      <c r="B11" s="136" t="s">
        <v>454</v>
      </c>
      <c r="C11" s="210">
        <v>4000</v>
      </c>
      <c r="D11" s="210"/>
      <c r="E11" s="210"/>
      <c r="F11" s="421" t="s">
        <v>490</v>
      </c>
    </row>
    <row r="12" spans="1:6" ht="15" customHeight="1">
      <c r="A12" s="136" t="s">
        <v>471</v>
      </c>
      <c r="B12" s="136" t="s">
        <v>454</v>
      </c>
      <c r="C12" s="210">
        <v>4000</v>
      </c>
      <c r="D12" s="210">
        <v>4000</v>
      </c>
      <c r="E12" s="210">
        <v>4000</v>
      </c>
      <c r="F12" s="421" t="s">
        <v>490</v>
      </c>
    </row>
    <row r="13" spans="1:6" ht="15" customHeight="1">
      <c r="A13" s="136" t="s">
        <v>471</v>
      </c>
      <c r="B13" s="136" t="s">
        <v>458</v>
      </c>
      <c r="C13" s="210">
        <v>25000</v>
      </c>
      <c r="D13" s="210"/>
      <c r="E13" s="210"/>
      <c r="F13" s="421" t="s">
        <v>490</v>
      </c>
    </row>
    <row r="14" spans="1:6" ht="15" customHeight="1">
      <c r="A14" s="136" t="s">
        <v>472</v>
      </c>
      <c r="B14" s="136" t="s">
        <v>454</v>
      </c>
      <c r="C14" s="210">
        <v>5000</v>
      </c>
      <c r="D14" s="210">
        <v>5000</v>
      </c>
      <c r="E14" s="210">
        <v>5000</v>
      </c>
      <c r="F14" s="421" t="s">
        <v>490</v>
      </c>
    </row>
    <row r="15" spans="1:6" ht="15" customHeight="1">
      <c r="A15" s="136" t="s">
        <v>473</v>
      </c>
      <c r="B15" s="136" t="s">
        <v>454</v>
      </c>
      <c r="C15" s="210">
        <v>2000</v>
      </c>
      <c r="D15" s="210">
        <v>2000</v>
      </c>
      <c r="E15" s="210">
        <v>2000</v>
      </c>
      <c r="F15" s="421" t="s">
        <v>490</v>
      </c>
    </row>
    <row r="16" spans="1:6" ht="15" customHeight="1">
      <c r="A16" s="405" t="s">
        <v>474</v>
      </c>
      <c r="B16" s="405" t="s">
        <v>333</v>
      </c>
      <c r="C16" s="210">
        <v>148444</v>
      </c>
      <c r="D16" s="210">
        <v>0</v>
      </c>
      <c r="E16" s="210">
        <v>0</v>
      </c>
      <c r="F16" s="405" t="s">
        <v>491</v>
      </c>
    </row>
    <row r="17" spans="1:6" ht="15" customHeight="1">
      <c r="A17" s="405" t="s">
        <v>474</v>
      </c>
      <c r="B17" s="405" t="s">
        <v>475</v>
      </c>
      <c r="C17" s="210">
        <v>10000</v>
      </c>
      <c r="D17" s="210">
        <v>50000</v>
      </c>
      <c r="E17" s="210">
        <v>10000</v>
      </c>
      <c r="F17" s="405" t="s">
        <v>491</v>
      </c>
    </row>
    <row r="18" spans="1:6" ht="15" customHeight="1">
      <c r="A18" s="405" t="s">
        <v>476</v>
      </c>
      <c r="B18" s="405" t="s">
        <v>475</v>
      </c>
      <c r="C18" s="210">
        <v>8600</v>
      </c>
      <c r="D18" s="210">
        <v>8600</v>
      </c>
      <c r="E18" s="210">
        <v>8600</v>
      </c>
      <c r="F18" s="405" t="s">
        <v>491</v>
      </c>
    </row>
    <row r="19" spans="1:6" ht="15" customHeight="1">
      <c r="A19" s="405" t="s">
        <v>472</v>
      </c>
      <c r="B19" s="405" t="s">
        <v>475</v>
      </c>
      <c r="C19" s="210">
        <v>47400</v>
      </c>
      <c r="D19" s="210">
        <v>14800</v>
      </c>
      <c r="E19" s="210">
        <v>14800</v>
      </c>
      <c r="F19" s="405" t="s">
        <v>491</v>
      </c>
    </row>
    <row r="20" spans="1:6" ht="15" customHeight="1">
      <c r="A20" s="405" t="s">
        <v>477</v>
      </c>
      <c r="B20" s="405" t="s">
        <v>478</v>
      </c>
      <c r="C20" s="210">
        <v>2500</v>
      </c>
      <c r="D20" s="210">
        <v>6000</v>
      </c>
      <c r="E20" s="210">
        <v>7000</v>
      </c>
      <c r="F20" s="405" t="s">
        <v>491</v>
      </c>
    </row>
    <row r="21" spans="1:6" ht="15" customHeight="1">
      <c r="A21" s="405" t="s">
        <v>438</v>
      </c>
      <c r="B21" s="405" t="s">
        <v>713</v>
      </c>
      <c r="C21" s="210">
        <v>2500</v>
      </c>
      <c r="D21" s="210"/>
      <c r="E21" s="210"/>
      <c r="F21" s="405" t="s">
        <v>491</v>
      </c>
    </row>
    <row r="22" spans="1:6" ht="15" customHeight="1">
      <c r="A22" s="405" t="s">
        <v>714</v>
      </c>
      <c r="B22" s="405" t="s">
        <v>779</v>
      </c>
      <c r="C22" s="210">
        <v>3761</v>
      </c>
      <c r="D22" s="210"/>
      <c r="E22" s="210"/>
      <c r="F22" s="405" t="s">
        <v>491</v>
      </c>
    </row>
    <row r="23" spans="1:6" ht="15" customHeight="1">
      <c r="A23" s="405" t="s">
        <v>714</v>
      </c>
      <c r="B23" s="405" t="s">
        <v>489</v>
      </c>
      <c r="C23" s="210">
        <v>10000</v>
      </c>
      <c r="D23" s="210"/>
      <c r="E23" s="210"/>
      <c r="F23" s="405" t="s">
        <v>491</v>
      </c>
    </row>
    <row r="24" spans="1:6" ht="15" customHeight="1">
      <c r="A24" s="405" t="s">
        <v>479</v>
      </c>
      <c r="B24" s="405" t="s">
        <v>333</v>
      </c>
      <c r="C24" s="210">
        <v>7130</v>
      </c>
      <c r="D24" s="210">
        <v>6930</v>
      </c>
      <c r="E24" s="210">
        <v>6730</v>
      </c>
      <c r="F24" s="405" t="s">
        <v>491</v>
      </c>
    </row>
    <row r="25" spans="1:6" ht="15" customHeight="1">
      <c r="A25" s="405" t="s">
        <v>480</v>
      </c>
      <c r="B25" s="405" t="s">
        <v>481</v>
      </c>
      <c r="C25" s="210"/>
      <c r="D25" s="210">
        <v>5000</v>
      </c>
      <c r="E25" s="210">
        <v>5000</v>
      </c>
      <c r="F25" s="405" t="s">
        <v>492</v>
      </c>
    </row>
    <row r="26" spans="1:6" ht="15" customHeight="1">
      <c r="A26" s="405" t="s">
        <v>480</v>
      </c>
      <c r="B26" s="406" t="s">
        <v>482</v>
      </c>
      <c r="C26" s="210">
        <v>12000</v>
      </c>
      <c r="D26" s="210">
        <v>13000</v>
      </c>
      <c r="E26" s="210">
        <v>12000</v>
      </c>
      <c r="F26" s="405" t="s">
        <v>492</v>
      </c>
    </row>
    <row r="27" spans="1:6" ht="15" customHeight="1">
      <c r="A27" s="405" t="s">
        <v>480</v>
      </c>
      <c r="B27" s="405" t="s">
        <v>763</v>
      </c>
      <c r="C27" s="210">
        <v>6107629</v>
      </c>
      <c r="D27" s="210">
        <v>0</v>
      </c>
      <c r="E27" s="210"/>
      <c r="F27" s="405" t="s">
        <v>492</v>
      </c>
    </row>
    <row r="28" spans="1:6" ht="15" customHeight="1">
      <c r="A28" s="405" t="s">
        <v>480</v>
      </c>
      <c r="B28" s="405" t="s">
        <v>483</v>
      </c>
      <c r="C28" s="210">
        <v>157393</v>
      </c>
      <c r="D28" s="210">
        <v>200000</v>
      </c>
      <c r="E28" s="210">
        <v>200000</v>
      </c>
      <c r="F28" s="405" t="s">
        <v>492</v>
      </c>
    </row>
    <row r="29" spans="1:6" ht="15" customHeight="1">
      <c r="A29" s="405" t="s">
        <v>480</v>
      </c>
      <c r="B29" s="405" t="s">
        <v>484</v>
      </c>
      <c r="C29" s="210">
        <v>5000</v>
      </c>
      <c r="D29" s="210">
        <v>9000</v>
      </c>
      <c r="E29" s="210">
        <v>4000</v>
      </c>
      <c r="F29" s="405" t="s">
        <v>492</v>
      </c>
    </row>
    <row r="30" spans="1:6" ht="15" customHeight="1">
      <c r="A30" s="405" t="s">
        <v>483</v>
      </c>
      <c r="B30" s="405" t="s">
        <v>480</v>
      </c>
      <c r="C30" s="210"/>
      <c r="D30" s="210">
        <v>200000</v>
      </c>
      <c r="E30" s="210">
        <v>320000</v>
      </c>
      <c r="F30" s="405" t="s">
        <v>492</v>
      </c>
    </row>
    <row r="31" spans="1:6" ht="18" customHeight="1">
      <c r="A31" s="405" t="s">
        <v>483</v>
      </c>
      <c r="B31" s="405" t="s">
        <v>465</v>
      </c>
      <c r="C31" s="210">
        <v>12000</v>
      </c>
      <c r="D31" s="210"/>
      <c r="E31" s="210"/>
      <c r="F31" s="405" t="s">
        <v>492</v>
      </c>
    </row>
    <row r="32" spans="1:6" ht="15" customHeight="1">
      <c r="A32" s="405" t="s">
        <v>483</v>
      </c>
      <c r="B32" s="405" t="s">
        <v>458</v>
      </c>
      <c r="C32" s="210">
        <v>107688</v>
      </c>
      <c r="D32" s="210"/>
      <c r="E32" s="210">
        <v>0</v>
      </c>
      <c r="F32" s="405" t="s">
        <v>492</v>
      </c>
    </row>
    <row r="33" spans="1:6" ht="15" customHeight="1">
      <c r="A33" s="407" t="s">
        <v>485</v>
      </c>
      <c r="B33" s="405" t="s">
        <v>481</v>
      </c>
      <c r="C33" s="210"/>
      <c r="D33" s="210">
        <v>5000</v>
      </c>
      <c r="E33" s="210">
        <v>5000</v>
      </c>
      <c r="F33" s="405" t="s">
        <v>492</v>
      </c>
    </row>
    <row r="34" spans="1:6" ht="15" customHeight="1">
      <c r="A34" s="407" t="s">
        <v>485</v>
      </c>
      <c r="B34" s="405" t="s">
        <v>333</v>
      </c>
      <c r="C34" s="210">
        <v>183272</v>
      </c>
      <c r="D34" s="210">
        <v>178317</v>
      </c>
      <c r="E34" s="210">
        <v>169786</v>
      </c>
      <c r="F34" s="405" t="s">
        <v>492</v>
      </c>
    </row>
    <row r="35" spans="1:6" ht="15" customHeight="1">
      <c r="A35" s="407" t="s">
        <v>485</v>
      </c>
      <c r="B35" s="406" t="s">
        <v>486</v>
      </c>
      <c r="C35" s="210">
        <v>9000</v>
      </c>
      <c r="D35" s="210">
        <v>10000</v>
      </c>
      <c r="E35" s="210">
        <v>4500</v>
      </c>
      <c r="F35" s="405" t="s">
        <v>492</v>
      </c>
    </row>
    <row r="36" spans="1:6" ht="15" customHeight="1">
      <c r="A36" s="407" t="s">
        <v>485</v>
      </c>
      <c r="B36" s="405" t="s">
        <v>487</v>
      </c>
      <c r="C36" s="210">
        <v>5000</v>
      </c>
      <c r="D36" s="210">
        <v>4000</v>
      </c>
      <c r="E36" s="210">
        <v>5000</v>
      </c>
      <c r="F36" s="405" t="s">
        <v>492</v>
      </c>
    </row>
    <row r="37" spans="1:6" ht="15" customHeight="1">
      <c r="A37" s="407" t="s">
        <v>485</v>
      </c>
      <c r="B37" s="405" t="s">
        <v>488</v>
      </c>
      <c r="C37" s="210">
        <v>42946</v>
      </c>
      <c r="D37" s="210">
        <v>200000</v>
      </c>
      <c r="E37" s="210">
        <v>200000</v>
      </c>
      <c r="F37" s="405" t="s">
        <v>492</v>
      </c>
    </row>
    <row r="38" spans="1:6" ht="15" customHeight="1">
      <c r="A38" s="407" t="s">
        <v>458</v>
      </c>
      <c r="B38" s="405" t="s">
        <v>488</v>
      </c>
      <c r="C38" s="210">
        <v>57790</v>
      </c>
      <c r="D38" s="210"/>
      <c r="E38" s="210"/>
      <c r="F38" s="405" t="s">
        <v>492</v>
      </c>
    </row>
    <row r="39" spans="1:6" ht="15" customHeight="1">
      <c r="A39" s="405" t="s">
        <v>488</v>
      </c>
      <c r="B39" s="407" t="s">
        <v>485</v>
      </c>
      <c r="C39" s="210">
        <v>10000</v>
      </c>
      <c r="D39" s="210">
        <v>200000</v>
      </c>
      <c r="E39" s="210">
        <v>348000</v>
      </c>
      <c r="F39" s="405" t="s">
        <v>491</v>
      </c>
    </row>
    <row r="40" spans="1:6" ht="15" customHeight="1">
      <c r="A40" s="122" t="s">
        <v>489</v>
      </c>
      <c r="B40" s="122" t="s">
        <v>458</v>
      </c>
      <c r="C40" s="210">
        <v>249997</v>
      </c>
      <c r="D40" s="210"/>
      <c r="E40" s="210"/>
      <c r="F40" s="421" t="s">
        <v>490</v>
      </c>
    </row>
    <row r="41" spans="1:6" ht="15" customHeight="1">
      <c r="A41" s="405" t="s">
        <v>792</v>
      </c>
      <c r="B41" s="407" t="s">
        <v>731</v>
      </c>
      <c r="C41" s="210">
        <v>14268</v>
      </c>
      <c r="D41" s="210"/>
      <c r="E41" s="210"/>
      <c r="F41" s="422" t="s">
        <v>798</v>
      </c>
    </row>
    <row r="42" spans="1:6" ht="15" customHeight="1">
      <c r="A42" s="122" t="s">
        <v>792</v>
      </c>
      <c r="B42" s="122" t="s">
        <v>793</v>
      </c>
      <c r="C42" s="210">
        <v>2189</v>
      </c>
      <c r="D42" s="210"/>
      <c r="E42" s="210"/>
      <c r="F42" s="422" t="s">
        <v>799</v>
      </c>
    </row>
    <row r="43" spans="1:6" ht="15" customHeight="1">
      <c r="A43" s="137"/>
      <c r="B43" s="203" t="s">
        <v>143</v>
      </c>
      <c r="C43" s="269">
        <f>SUM(C8:C42)</f>
        <v>7274207</v>
      </c>
      <c r="D43" s="269">
        <f>SUM(D8:D42)</f>
        <v>1131745</v>
      </c>
      <c r="E43" s="269">
        <f>SUM(E8:E42)</f>
        <v>1345533</v>
      </c>
      <c r="F43" s="213"/>
    </row>
    <row r="44" spans="1:6" ht="15" customHeight="1">
      <c r="A44" s="137"/>
      <c r="B44" s="204" t="s">
        <v>366</v>
      </c>
      <c r="C44" s="82"/>
      <c r="D44" s="211"/>
      <c r="E44" s="211"/>
      <c r="F44" s="213"/>
    </row>
    <row r="45" spans="1:6" ht="15" customHeight="1">
      <c r="A45" s="137"/>
      <c r="B45" s="203" t="s">
        <v>367</v>
      </c>
      <c r="C45" s="269">
        <f>C43</f>
        <v>7274207</v>
      </c>
      <c r="D45" s="269">
        <f>SUM(D43-D44)</f>
        <v>1131745</v>
      </c>
      <c r="E45" s="269">
        <f>SUM(E43-E44)</f>
        <v>1345533</v>
      </c>
      <c r="F45" s="213"/>
    </row>
    <row r="46" spans="1:6" ht="15" customHeight="1">
      <c r="A46" s="137"/>
      <c r="B46" s="137"/>
      <c r="C46" s="137"/>
      <c r="D46" s="137"/>
      <c r="E46" s="137"/>
      <c r="F46" s="137"/>
    </row>
    <row r="47" spans="1:6" ht="15" customHeight="1">
      <c r="A47" s="355" t="s">
        <v>20</v>
      </c>
      <c r="B47" s="355"/>
      <c r="C47" s="355"/>
      <c r="D47" s="355"/>
      <c r="E47" s="355"/>
      <c r="F47" s="137"/>
    </row>
    <row r="48" ht="15" customHeight="1"/>
  </sheetData>
  <sheetProtection/>
  <mergeCells count="1">
    <mergeCell ref="A3:F3"/>
  </mergeCells>
  <printOptions/>
  <pageMargins left="0.75" right="0.75" top="1" bottom="1" header="0.5" footer="0.5"/>
  <pageSetup blackAndWhite="1" fitToHeight="1" fitToWidth="1" horizontalDpi="600" verticalDpi="600" orientation="portrait" scale="86" r:id="rId1"/>
  <headerFooter alignWithMargins="0">
    <oddHeader>&amp;RState of Kansas
City</oddHeader>
    <oddFooter>&amp;Lrevised 5/08/08&amp;CPage No. 4</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B42"/>
  <sheetViews>
    <sheetView zoomScale="75" zoomScaleNormal="75" zoomScalePageLayoutView="0" workbookViewId="0" topLeftCell="A4">
      <pane xSplit="1" ySplit="5" topLeftCell="F9" activePane="bottomRight" state="frozen"/>
      <selection pane="topLeft" activeCell="A4" sqref="A4"/>
      <selection pane="topRight" activeCell="B4" sqref="B4"/>
      <selection pane="bottomLeft" activeCell="A9" sqref="A9"/>
      <selection pane="bottomRight" activeCell="L31" sqref="L31"/>
    </sheetView>
  </sheetViews>
  <sheetFormatPr defaultColWidth="8.796875" defaultRowHeight="15"/>
  <cols>
    <col min="1" max="1" width="20.796875" style="7" customWidth="1"/>
    <col min="2" max="3" width="7.796875" style="7" customWidth="1"/>
    <col min="4" max="4" width="8.796875" style="7" customWidth="1"/>
    <col min="5" max="6" width="12.796875" style="7" customWidth="1"/>
    <col min="7" max="12" width="9.796875" style="7" customWidth="1"/>
    <col min="13" max="16384" width="8.8984375" style="7" customWidth="1"/>
  </cols>
  <sheetData>
    <row r="1" spans="1:12" ht="15.75">
      <c r="A1" s="72" t="str">
        <f>inputPrYr!$D$2</f>
        <v>CITY OF PARK CITY</v>
      </c>
      <c r="B1" s="21"/>
      <c r="C1" s="21"/>
      <c r="D1" s="21"/>
      <c r="E1" s="21"/>
      <c r="F1" s="21"/>
      <c r="G1" s="21"/>
      <c r="H1" s="21"/>
      <c r="I1" s="21"/>
      <c r="J1" s="21"/>
      <c r="K1" s="21"/>
      <c r="L1" s="144">
        <f>inputPrYr!$C$5</f>
        <v>2010</v>
      </c>
    </row>
    <row r="2" spans="1:12" ht="15.75">
      <c r="A2" s="72"/>
      <c r="B2" s="21"/>
      <c r="C2" s="21"/>
      <c r="D2" s="21"/>
      <c r="E2" s="21"/>
      <c r="F2" s="21"/>
      <c r="G2" s="21"/>
      <c r="H2" s="21"/>
      <c r="I2" s="21"/>
      <c r="J2" s="21"/>
      <c r="K2" s="21"/>
      <c r="L2" s="24"/>
    </row>
    <row r="3" spans="1:12" ht="15.75">
      <c r="A3" s="75" t="s">
        <v>235</v>
      </c>
      <c r="B3" s="27"/>
      <c r="C3" s="27"/>
      <c r="D3" s="27"/>
      <c r="E3" s="27"/>
      <c r="F3" s="27"/>
      <c r="G3" s="27"/>
      <c r="H3" s="27"/>
      <c r="I3" s="27"/>
      <c r="J3" s="27"/>
      <c r="K3" s="27"/>
      <c r="L3" s="27"/>
    </row>
    <row r="4" spans="1:12" ht="15.75">
      <c r="A4" s="21"/>
      <c r="B4" s="87"/>
      <c r="C4" s="87"/>
      <c r="D4" s="87"/>
      <c r="E4" s="87"/>
      <c r="F4" s="87"/>
      <c r="G4" s="87"/>
      <c r="H4" s="87"/>
      <c r="I4" s="87"/>
      <c r="J4" s="87"/>
      <c r="K4" s="87"/>
      <c r="L4" s="87"/>
    </row>
    <row r="5" spans="1:12" ht="15.75">
      <c r="A5" s="21"/>
      <c r="B5" s="76" t="s">
        <v>197</v>
      </c>
      <c r="C5" s="76" t="s">
        <v>197</v>
      </c>
      <c r="D5" s="76" t="s">
        <v>212</v>
      </c>
      <c r="E5" s="76"/>
      <c r="F5" s="76" t="s">
        <v>353</v>
      </c>
      <c r="G5" s="21"/>
      <c r="H5" s="21"/>
      <c r="I5" s="78" t="s">
        <v>198</v>
      </c>
      <c r="J5" s="77"/>
      <c r="K5" s="78" t="s">
        <v>198</v>
      </c>
      <c r="L5" s="77"/>
    </row>
    <row r="6" spans="1:12" ht="15.75">
      <c r="A6" s="21"/>
      <c r="B6" s="79" t="s">
        <v>199</v>
      </c>
      <c r="C6" s="79" t="s">
        <v>354</v>
      </c>
      <c r="D6" s="79" t="s">
        <v>200</v>
      </c>
      <c r="E6" s="79" t="s">
        <v>149</v>
      </c>
      <c r="F6" s="79" t="s">
        <v>355</v>
      </c>
      <c r="G6" s="449" t="s">
        <v>201</v>
      </c>
      <c r="H6" s="450"/>
      <c r="I6" s="451">
        <f>L1-1</f>
        <v>2009</v>
      </c>
      <c r="J6" s="452"/>
      <c r="K6" s="451">
        <f>L1</f>
        <v>2010</v>
      </c>
      <c r="L6" s="452"/>
    </row>
    <row r="7" spans="1:12" ht="15.75">
      <c r="A7" s="83" t="s">
        <v>202</v>
      </c>
      <c r="B7" s="80" t="s">
        <v>203</v>
      </c>
      <c r="C7" s="80" t="s">
        <v>356</v>
      </c>
      <c r="D7" s="80" t="s">
        <v>174</v>
      </c>
      <c r="E7" s="80" t="s">
        <v>204</v>
      </c>
      <c r="F7" s="199" t="str">
        <f>CONCATENATE("Jan 1,",L1-1,"")</f>
        <v>Jan 1,2009</v>
      </c>
      <c r="G7" s="82" t="s">
        <v>212</v>
      </c>
      <c r="H7" s="82" t="s">
        <v>214</v>
      </c>
      <c r="I7" s="82" t="s">
        <v>212</v>
      </c>
      <c r="J7" s="82" t="s">
        <v>214</v>
      </c>
      <c r="K7" s="82" t="s">
        <v>212</v>
      </c>
      <c r="L7" s="82" t="s">
        <v>214</v>
      </c>
    </row>
    <row r="8" spans="1:12" ht="15.75">
      <c r="A8" s="83" t="s">
        <v>205</v>
      </c>
      <c r="B8" s="42"/>
      <c r="C8" s="42"/>
      <c r="D8" s="84"/>
      <c r="E8" s="85"/>
      <c r="F8" s="85"/>
      <c r="G8" s="42"/>
      <c r="H8" s="42"/>
      <c r="I8" s="85"/>
      <c r="J8" s="85"/>
      <c r="K8" s="85"/>
      <c r="L8" s="85"/>
    </row>
    <row r="9" spans="1:12" ht="15.75">
      <c r="A9" s="8" t="s">
        <v>685</v>
      </c>
      <c r="B9" s="214">
        <v>36951</v>
      </c>
      <c r="C9" s="228">
        <v>2016</v>
      </c>
      <c r="D9" s="215">
        <v>4.5675</v>
      </c>
      <c r="E9" s="216">
        <v>1145000</v>
      </c>
      <c r="F9" s="217">
        <v>740000</v>
      </c>
      <c r="G9" s="410" t="s">
        <v>687</v>
      </c>
      <c r="H9" s="410">
        <v>37226</v>
      </c>
      <c r="I9" s="217">
        <f>17081.25+17081.25</f>
        <v>34162.5</v>
      </c>
      <c r="J9" s="217">
        <v>75000</v>
      </c>
      <c r="K9" s="217">
        <f>15300+15300</f>
        <v>30600</v>
      </c>
      <c r="L9" s="217">
        <v>80000</v>
      </c>
    </row>
    <row r="10" spans="1:12" ht="15.75">
      <c r="A10" s="8" t="s">
        <v>686</v>
      </c>
      <c r="B10" s="214">
        <v>37133</v>
      </c>
      <c r="C10" s="228">
        <v>2017</v>
      </c>
      <c r="D10" s="215">
        <v>4.89</v>
      </c>
      <c r="E10" s="216">
        <v>740000</v>
      </c>
      <c r="F10" s="217">
        <v>535000</v>
      </c>
      <c r="G10" s="8" t="s">
        <v>687</v>
      </c>
      <c r="H10" s="410">
        <v>37591</v>
      </c>
      <c r="I10" s="217">
        <f>13390+13390</f>
        <v>26780</v>
      </c>
      <c r="J10" s="217">
        <v>50000</v>
      </c>
      <c r="K10" s="217">
        <f>12252.5+12252.5</f>
        <v>24505</v>
      </c>
      <c r="L10" s="217">
        <v>50000</v>
      </c>
    </row>
    <row r="11" spans="1:12" ht="15.75">
      <c r="A11" s="8" t="s">
        <v>493</v>
      </c>
      <c r="B11" s="214">
        <v>37671</v>
      </c>
      <c r="C11" s="228">
        <v>2018</v>
      </c>
      <c r="D11" s="215">
        <v>3.59</v>
      </c>
      <c r="E11" s="216">
        <v>4035000</v>
      </c>
      <c r="F11" s="217">
        <v>3110000</v>
      </c>
      <c r="G11" s="8" t="s">
        <v>687</v>
      </c>
      <c r="H11" s="410">
        <v>37591</v>
      </c>
      <c r="I11" s="217">
        <f>53691.25+53691.25</f>
        <v>107382.5</v>
      </c>
      <c r="J11" s="217">
        <v>255000</v>
      </c>
      <c r="K11" s="217">
        <f>49356.25*2</f>
        <v>98712.5</v>
      </c>
      <c r="L11" s="217">
        <v>265000</v>
      </c>
    </row>
    <row r="12" spans="1:12" ht="15.75">
      <c r="A12" s="8" t="s">
        <v>494</v>
      </c>
      <c r="B12" s="214">
        <v>37925</v>
      </c>
      <c r="C12" s="228">
        <v>2019</v>
      </c>
      <c r="D12" s="215">
        <v>3.950133</v>
      </c>
      <c r="E12" s="216">
        <v>2185000</v>
      </c>
      <c r="F12" s="217">
        <v>1785000</v>
      </c>
      <c r="G12" s="8" t="s">
        <v>687</v>
      </c>
      <c r="H12" s="410">
        <v>37591</v>
      </c>
      <c r="I12" s="217">
        <f>34723.75+34723.75</f>
        <v>69447.5</v>
      </c>
      <c r="J12" s="217">
        <v>135000</v>
      </c>
      <c r="K12" s="217">
        <f>32023.75*2</f>
        <v>64047.5</v>
      </c>
      <c r="L12" s="217">
        <v>140000</v>
      </c>
    </row>
    <row r="13" spans="1:12" ht="15.75">
      <c r="A13" s="8" t="s">
        <v>495</v>
      </c>
      <c r="B13" s="214">
        <v>38174</v>
      </c>
      <c r="C13" s="228">
        <v>2019</v>
      </c>
      <c r="D13" s="215">
        <v>3.741</v>
      </c>
      <c r="E13" s="216">
        <v>3130000</v>
      </c>
      <c r="F13" s="217">
        <v>1715000</v>
      </c>
      <c r="G13" s="8" t="s">
        <v>687</v>
      </c>
      <c r="H13" s="410">
        <v>37591</v>
      </c>
      <c r="I13" s="217">
        <f>32905+32905</f>
        <v>65810</v>
      </c>
      <c r="J13" s="217">
        <v>270000</v>
      </c>
      <c r="K13" s="217">
        <f>28450*2</f>
        <v>56900</v>
      </c>
      <c r="L13" s="217">
        <v>270000</v>
      </c>
    </row>
    <row r="14" spans="1:12" ht="15.75">
      <c r="A14" s="8" t="s">
        <v>496</v>
      </c>
      <c r="B14" s="214">
        <v>38336</v>
      </c>
      <c r="C14" s="228">
        <v>2020</v>
      </c>
      <c r="D14" s="215">
        <v>4.048208</v>
      </c>
      <c r="E14" s="216">
        <v>968000</v>
      </c>
      <c r="F14" s="217">
        <v>850000</v>
      </c>
      <c r="G14" s="8" t="s">
        <v>687</v>
      </c>
      <c r="H14" s="410">
        <v>37591</v>
      </c>
      <c r="I14" s="217">
        <f>17008.75+17008.75</f>
        <v>34017.5</v>
      </c>
      <c r="J14" s="217">
        <v>55000</v>
      </c>
      <c r="K14" s="217">
        <f>15840*2</f>
        <v>31680</v>
      </c>
      <c r="L14" s="217">
        <v>60000</v>
      </c>
    </row>
    <row r="15" spans="1:12" ht="15.75">
      <c r="A15" s="8" t="s">
        <v>497</v>
      </c>
      <c r="B15" s="214">
        <v>38701</v>
      </c>
      <c r="C15" s="228">
        <v>2026</v>
      </c>
      <c r="D15" s="215">
        <v>4.053</v>
      </c>
      <c r="E15" s="216">
        <v>1890000</v>
      </c>
      <c r="F15" s="217">
        <v>1775000</v>
      </c>
      <c r="G15" s="8" t="s">
        <v>687</v>
      </c>
      <c r="H15" s="410">
        <v>37591</v>
      </c>
      <c r="I15" s="217">
        <f>36690+36690</f>
        <v>73380</v>
      </c>
      <c r="J15" s="217">
        <v>95000</v>
      </c>
      <c r="K15" s="217">
        <f>34315*2</f>
        <v>68630</v>
      </c>
      <c r="L15" s="217">
        <v>100000</v>
      </c>
    </row>
    <row r="16" spans="1:12" ht="15.75">
      <c r="A16" s="8" t="s">
        <v>498</v>
      </c>
      <c r="B16" s="214">
        <v>38869</v>
      </c>
      <c r="C16" s="228">
        <v>2028</v>
      </c>
      <c r="D16" s="215">
        <v>6.5141</v>
      </c>
      <c r="E16" s="216">
        <v>1000000</v>
      </c>
      <c r="F16" s="217">
        <v>975000</v>
      </c>
      <c r="G16" s="8" t="s">
        <v>687</v>
      </c>
      <c r="H16" s="410">
        <v>37591</v>
      </c>
      <c r="I16" s="217">
        <f>32537.5+32537.5</f>
        <v>65075</v>
      </c>
      <c r="J16" s="217">
        <v>30000</v>
      </c>
      <c r="K16" s="217">
        <f>31412.5*2</f>
        <v>62825</v>
      </c>
      <c r="L16" s="217">
        <v>30000</v>
      </c>
    </row>
    <row r="17" spans="1:12" ht="15.75">
      <c r="A17" s="8" t="s">
        <v>499</v>
      </c>
      <c r="B17" s="214">
        <v>38991</v>
      </c>
      <c r="C17" s="228">
        <v>2036</v>
      </c>
      <c r="D17" s="215">
        <v>4.53</v>
      </c>
      <c r="E17" s="216">
        <v>3160000</v>
      </c>
      <c r="F17" s="217">
        <v>3160000</v>
      </c>
      <c r="G17" s="8" t="s">
        <v>687</v>
      </c>
      <c r="H17" s="410">
        <v>37591</v>
      </c>
      <c r="I17" s="217">
        <f>74221.88+74221.88</f>
        <v>148443.76</v>
      </c>
      <c r="J17" s="217">
        <v>0</v>
      </c>
      <c r="K17" s="217">
        <f>74221.88*2</f>
        <v>148443.76</v>
      </c>
      <c r="L17" s="217">
        <v>0</v>
      </c>
    </row>
    <row r="18" spans="1:12" ht="15.75">
      <c r="A18" s="8" t="s">
        <v>500</v>
      </c>
      <c r="B18" s="214">
        <v>39052</v>
      </c>
      <c r="C18" s="228">
        <v>2027</v>
      </c>
      <c r="D18" s="215">
        <v>4.356</v>
      </c>
      <c r="E18" s="216">
        <v>2655000</v>
      </c>
      <c r="F18" s="217">
        <v>2640000</v>
      </c>
      <c r="G18" s="8" t="s">
        <v>687</v>
      </c>
      <c r="H18" s="410">
        <v>37591</v>
      </c>
      <c r="I18" s="217">
        <f>58942.5+58942.5</f>
        <v>117885</v>
      </c>
      <c r="J18" s="217">
        <v>130000</v>
      </c>
      <c r="K18" s="217">
        <f>55692.5*2</f>
        <v>111385</v>
      </c>
      <c r="L18" s="217">
        <v>145000</v>
      </c>
    </row>
    <row r="19" spans="1:12" ht="15.75">
      <c r="A19" s="8" t="s">
        <v>501</v>
      </c>
      <c r="B19" s="214">
        <v>39417</v>
      </c>
      <c r="C19" s="228">
        <v>2028</v>
      </c>
      <c r="D19" s="215"/>
      <c r="E19" s="216">
        <v>945000</v>
      </c>
      <c r="F19" s="217">
        <v>945000</v>
      </c>
      <c r="G19" s="8" t="s">
        <v>687</v>
      </c>
      <c r="H19" s="410">
        <v>37591</v>
      </c>
      <c r="I19" s="217">
        <f>60292.5+20097.5</f>
        <v>80390</v>
      </c>
      <c r="J19" s="217">
        <v>0</v>
      </c>
      <c r="K19" s="217">
        <f>20097.5*2</f>
        <v>40195</v>
      </c>
      <c r="L19" s="217">
        <v>35000</v>
      </c>
    </row>
    <row r="20" spans="1:12" ht="15.75">
      <c r="A20" s="8" t="s">
        <v>502</v>
      </c>
      <c r="B20" s="214">
        <v>39417</v>
      </c>
      <c r="C20" s="228">
        <v>2015</v>
      </c>
      <c r="D20" s="215"/>
      <c r="E20" s="216">
        <v>1100000</v>
      </c>
      <c r="F20" s="217">
        <v>1090000</v>
      </c>
      <c r="G20" s="8" t="s">
        <v>687</v>
      </c>
      <c r="H20" s="410">
        <v>37591</v>
      </c>
      <c r="I20" s="217">
        <f>21800+21800</f>
        <v>43600</v>
      </c>
      <c r="J20" s="217">
        <v>135000</v>
      </c>
      <c r="K20" s="217">
        <f>19100*2</f>
        <v>38200</v>
      </c>
      <c r="L20" s="217">
        <v>140000</v>
      </c>
    </row>
    <row r="21" spans="1:12" ht="15.75">
      <c r="A21" s="8" t="s">
        <v>688</v>
      </c>
      <c r="B21" s="214"/>
      <c r="C21" s="228"/>
      <c r="D21" s="215"/>
      <c r="E21" s="216"/>
      <c r="F21" s="217">
        <v>5050000</v>
      </c>
      <c r="G21" s="8" t="s">
        <v>687</v>
      </c>
      <c r="H21" s="410">
        <v>37591</v>
      </c>
      <c r="I21" s="217">
        <v>0</v>
      </c>
      <c r="J21" s="217">
        <v>0</v>
      </c>
      <c r="K21" s="217">
        <f>415832.22+142300</f>
        <v>558132.22</v>
      </c>
      <c r="L21" s="217">
        <v>0</v>
      </c>
    </row>
    <row r="22" spans="1:12" ht="15.75">
      <c r="A22" s="8"/>
      <c r="B22" s="214"/>
      <c r="C22" s="228"/>
      <c r="D22" s="215"/>
      <c r="E22" s="216"/>
      <c r="F22" s="217"/>
      <c r="G22" s="8"/>
      <c r="H22" s="410"/>
      <c r="I22" s="217"/>
      <c r="J22" s="217"/>
      <c r="K22" s="217"/>
      <c r="L22" s="217"/>
    </row>
    <row r="23" spans="1:12" ht="15.75">
      <c r="A23" s="8"/>
      <c r="B23" s="214"/>
      <c r="C23" s="214"/>
      <c r="D23" s="215"/>
      <c r="E23" s="216"/>
      <c r="F23" s="217"/>
      <c r="G23" s="218"/>
      <c r="H23" s="218"/>
      <c r="I23" s="217"/>
      <c r="J23" s="217"/>
      <c r="K23" s="217"/>
      <c r="L23" s="217"/>
    </row>
    <row r="24" spans="1:12" ht="15.75">
      <c r="A24" s="86" t="s">
        <v>206</v>
      </c>
      <c r="B24" s="219"/>
      <c r="C24" s="219"/>
      <c r="D24" s="220"/>
      <c r="E24" s="221"/>
      <c r="F24" s="272">
        <f>SUM(F9:F23)</f>
        <v>24370000</v>
      </c>
      <c r="G24" s="222"/>
      <c r="H24" s="222"/>
      <c r="I24" s="272">
        <f>SUM(I9:I23)</f>
        <v>866373.76</v>
      </c>
      <c r="J24" s="272">
        <f>SUM(J9:J23)</f>
        <v>1230000</v>
      </c>
      <c r="K24" s="272">
        <f>SUM(K9:K23)</f>
        <v>1334255.98</v>
      </c>
      <c r="L24" s="272">
        <f>SUM(L9:L23)</f>
        <v>1315000</v>
      </c>
    </row>
    <row r="25" spans="1:12" ht="15.75">
      <c r="A25" s="83" t="s">
        <v>207</v>
      </c>
      <c r="B25" s="223"/>
      <c r="C25" s="223"/>
      <c r="D25" s="224"/>
      <c r="E25" s="212"/>
      <c r="F25" s="212"/>
      <c r="G25" s="225"/>
      <c r="H25" s="225"/>
      <c r="I25" s="212"/>
      <c r="J25" s="212"/>
      <c r="K25" s="212"/>
      <c r="L25" s="212"/>
    </row>
    <row r="26" spans="1:12" ht="15.75">
      <c r="A26" s="8" t="s">
        <v>503</v>
      </c>
      <c r="B26" s="214"/>
      <c r="C26" s="214"/>
      <c r="D26" s="215"/>
      <c r="E26" s="216"/>
      <c r="F26" s="217"/>
      <c r="G26" s="218"/>
      <c r="H26" s="218"/>
      <c r="I26" s="217"/>
      <c r="J26" s="217"/>
      <c r="K26" s="217"/>
      <c r="L26" s="217"/>
    </row>
    <row r="27" spans="1:12" ht="15.75">
      <c r="A27" s="8"/>
      <c r="B27" s="214"/>
      <c r="C27" s="214"/>
      <c r="D27" s="215"/>
      <c r="E27" s="216"/>
      <c r="F27" s="217"/>
      <c r="G27" s="218"/>
      <c r="H27" s="218"/>
      <c r="I27" s="217"/>
      <c r="J27" s="217"/>
      <c r="K27" s="217"/>
      <c r="L27" s="217"/>
    </row>
    <row r="28" spans="1:12" ht="15.75">
      <c r="A28" s="8"/>
      <c r="B28" s="214"/>
      <c r="C28" s="214"/>
      <c r="D28" s="215"/>
      <c r="E28" s="216"/>
      <c r="F28" s="217"/>
      <c r="G28" s="218"/>
      <c r="H28" s="218"/>
      <c r="I28" s="217"/>
      <c r="J28" s="217"/>
      <c r="K28" s="217"/>
      <c r="L28" s="217"/>
    </row>
    <row r="29" spans="1:12" ht="15.75">
      <c r="A29" s="86" t="s">
        <v>208</v>
      </c>
      <c r="B29" s="219"/>
      <c r="C29" s="219"/>
      <c r="D29" s="226"/>
      <c r="E29" s="221"/>
      <c r="F29" s="273">
        <f>SUM(F26:F28)</f>
        <v>0</v>
      </c>
      <c r="G29" s="222"/>
      <c r="H29" s="222"/>
      <c r="I29" s="273">
        <f>SUM(I26:I28)</f>
        <v>0</v>
      </c>
      <c r="J29" s="273">
        <f>SUM(J26:J28)</f>
        <v>0</v>
      </c>
      <c r="K29" s="272">
        <f>SUM(K26:K28)</f>
        <v>0</v>
      </c>
      <c r="L29" s="273">
        <f>SUM(L26:L28)</f>
        <v>0</v>
      </c>
    </row>
    <row r="30" spans="1:12" ht="15.75">
      <c r="A30" s="83" t="s">
        <v>209</v>
      </c>
      <c r="B30" s="223"/>
      <c r="C30" s="223"/>
      <c r="D30" s="224"/>
      <c r="E30" s="212"/>
      <c r="F30" s="227"/>
      <c r="G30" s="225"/>
      <c r="H30" s="225"/>
      <c r="I30" s="212"/>
      <c r="J30" s="212"/>
      <c r="K30" s="212"/>
      <c r="L30" s="212"/>
    </row>
    <row r="31" spans="1:12" ht="15.75">
      <c r="A31" s="8" t="s">
        <v>504</v>
      </c>
      <c r="B31" s="214">
        <v>39217</v>
      </c>
      <c r="C31" s="408">
        <v>2011</v>
      </c>
      <c r="D31" s="215">
        <v>4.7</v>
      </c>
      <c r="E31" s="216">
        <v>115000</v>
      </c>
      <c r="F31" s="217">
        <f>+E31</f>
        <v>115000</v>
      </c>
      <c r="G31" s="218"/>
      <c r="H31" s="218"/>
      <c r="I31" s="217"/>
      <c r="J31" s="217"/>
      <c r="K31" s="217"/>
      <c r="L31" s="217"/>
    </row>
    <row r="32" spans="1:12" ht="15.75">
      <c r="A32" s="8" t="s">
        <v>505</v>
      </c>
      <c r="B32" s="214">
        <v>39417</v>
      </c>
      <c r="C32" s="408">
        <v>2009</v>
      </c>
      <c r="D32" s="215">
        <v>3.45</v>
      </c>
      <c r="E32" s="216">
        <v>1195000</v>
      </c>
      <c r="F32" s="217">
        <v>285000</v>
      </c>
      <c r="G32" s="218"/>
      <c r="H32" s="218">
        <v>40162</v>
      </c>
      <c r="I32" s="217"/>
      <c r="J32" s="217">
        <v>285000</v>
      </c>
      <c r="K32" s="217"/>
      <c r="L32" s="217"/>
    </row>
    <row r="33" spans="1:12" ht="15.75">
      <c r="A33" s="8" t="s">
        <v>506</v>
      </c>
      <c r="B33" s="214">
        <v>39548</v>
      </c>
      <c r="C33" s="408">
        <v>2009</v>
      </c>
      <c r="D33" s="215">
        <v>2.955</v>
      </c>
      <c r="E33" s="216">
        <v>3640380</v>
      </c>
      <c r="F33" s="217">
        <v>3655000</v>
      </c>
      <c r="G33" s="218"/>
      <c r="H33" s="218">
        <v>40162</v>
      </c>
      <c r="I33" s="217"/>
      <c r="J33" s="217"/>
      <c r="K33" s="217"/>
      <c r="L33" s="217">
        <f>+F33</f>
        <v>3655000</v>
      </c>
    </row>
    <row r="34" spans="1:12" ht="15.75">
      <c r="A34" s="8"/>
      <c r="B34" s="214"/>
      <c r="C34" s="408"/>
      <c r="D34" s="215"/>
      <c r="E34" s="216"/>
      <c r="F34" s="217"/>
      <c r="G34" s="218"/>
      <c r="H34" s="218"/>
      <c r="I34" s="217"/>
      <c r="J34" s="217"/>
      <c r="K34" s="217"/>
      <c r="L34" s="217"/>
    </row>
    <row r="35" spans="1:28" ht="15.75">
      <c r="A35" s="8"/>
      <c r="B35" s="214"/>
      <c r="C35" s="214"/>
      <c r="D35" s="215"/>
      <c r="E35" s="216"/>
      <c r="F35" s="217"/>
      <c r="G35" s="218"/>
      <c r="H35" s="218"/>
      <c r="I35" s="217"/>
      <c r="J35" s="217"/>
      <c r="K35" s="217"/>
      <c r="L35" s="217"/>
      <c r="M35" s="2"/>
      <c r="N35" s="2"/>
      <c r="O35" s="2"/>
      <c r="P35" s="2"/>
      <c r="Q35" s="2"/>
      <c r="R35" s="2"/>
      <c r="S35" s="2"/>
      <c r="T35" s="2"/>
      <c r="U35" s="2"/>
      <c r="V35" s="2"/>
      <c r="W35" s="2"/>
      <c r="X35" s="2"/>
      <c r="Y35" s="2"/>
      <c r="Z35" s="2"/>
      <c r="AA35" s="2"/>
      <c r="AB35" s="2"/>
    </row>
    <row r="36" spans="1:12" ht="15.75">
      <c r="A36" s="86" t="s">
        <v>357</v>
      </c>
      <c r="B36" s="203"/>
      <c r="C36" s="203"/>
      <c r="D36" s="226"/>
      <c r="E36" s="221"/>
      <c r="F36" s="273">
        <f>SUM(F31:F35)</f>
        <v>4055000</v>
      </c>
      <c r="G36" s="221"/>
      <c r="H36" s="221"/>
      <c r="I36" s="273">
        <f>SUM(I31:I35)</f>
        <v>0</v>
      </c>
      <c r="J36" s="273">
        <f>SUM(J31:J35)</f>
        <v>285000</v>
      </c>
      <c r="K36" s="273">
        <f>SUM(K31:K35)</f>
        <v>0</v>
      </c>
      <c r="L36" s="273">
        <f>SUM(L31:L35)</f>
        <v>3655000</v>
      </c>
    </row>
    <row r="37" spans="1:12" ht="15.75">
      <c r="A37" s="86" t="s">
        <v>210</v>
      </c>
      <c r="B37" s="203"/>
      <c r="C37" s="203"/>
      <c r="D37" s="203"/>
      <c r="E37" s="221"/>
      <c r="F37" s="273">
        <f>SUM(F24+F29+F36)</f>
        <v>28425000</v>
      </c>
      <c r="G37" s="221"/>
      <c r="H37" s="221"/>
      <c r="I37" s="273">
        <f>SUM(I24+I29+I36)</f>
        <v>866373.76</v>
      </c>
      <c r="J37" s="273">
        <f>SUM(J24+J29+J36)</f>
        <v>1515000</v>
      </c>
      <c r="K37" s="273">
        <f>SUM(K24+K29+K36)</f>
        <v>1334255.98</v>
      </c>
      <c r="L37" s="273">
        <f>SUM(L24+L29+L36)</f>
        <v>4970000</v>
      </c>
    </row>
    <row r="38" spans="1:12" ht="15.75">
      <c r="A38" s="2"/>
      <c r="B38" s="2"/>
      <c r="C38" s="2"/>
      <c r="D38" s="2"/>
      <c r="E38" s="2"/>
      <c r="F38" s="2"/>
      <c r="G38" s="2"/>
      <c r="H38" s="2"/>
      <c r="I38" s="2"/>
      <c r="J38" s="2"/>
      <c r="K38" s="2"/>
      <c r="L38" s="2"/>
    </row>
    <row r="39" spans="5:12" ht="15.75">
      <c r="E39" s="11"/>
      <c r="F39" s="11"/>
      <c r="I39" s="11"/>
      <c r="J39" s="11"/>
      <c r="K39" s="11"/>
      <c r="L39" s="11"/>
    </row>
    <row r="40" spans="5:13" ht="15.75">
      <c r="E40" s="2"/>
      <c r="G40" s="200"/>
      <c r="M40" s="2"/>
    </row>
    <row r="41" spans="1:12" ht="15.75">
      <c r="A41" s="2"/>
      <c r="B41" s="2"/>
      <c r="C41" s="2"/>
      <c r="D41" s="2"/>
      <c r="E41" s="2"/>
      <c r="F41" s="2"/>
      <c r="G41" s="2"/>
      <c r="H41" s="2"/>
      <c r="I41" s="2"/>
      <c r="J41" s="2"/>
      <c r="K41" s="2"/>
      <c r="L41" s="2"/>
    </row>
    <row r="42" spans="1:12" ht="15.75">
      <c r="A42" s="2"/>
      <c r="B42" s="2"/>
      <c r="C42" s="2"/>
      <c r="D42" s="2"/>
      <c r="E42" s="2"/>
      <c r="F42" s="2"/>
      <c r="G42" s="2"/>
      <c r="H42" s="2"/>
      <c r="I42" s="2"/>
      <c r="J42" s="2"/>
      <c r="K42" s="2"/>
      <c r="L42" s="2"/>
    </row>
  </sheetData>
  <sheetProtection sheet="1"/>
  <mergeCells count="3">
    <mergeCell ref="G6:H6"/>
    <mergeCell ref="I6:J6"/>
    <mergeCell ref="K6:L6"/>
  </mergeCells>
  <printOptions/>
  <pageMargins left="0.25" right="0.25" top="0.87" bottom="0.5" header="0.5" footer="0.5"/>
  <pageSetup blackAndWhite="1" fitToHeight="1" fitToWidth="1" horizontalDpi="120" verticalDpi="120" orientation="landscape" scale="86" r:id="rId1"/>
  <headerFooter alignWithMargins="0">
    <oddHeader>&amp;RState of Kansas
City</oddHeader>
    <oddFooter>&amp;Lrevised 8/06/07&amp;CPage No. 5</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30"/>
  <sheetViews>
    <sheetView zoomScale="75" zoomScaleNormal="75" zoomScalePageLayoutView="0" workbookViewId="0" topLeftCell="A6">
      <selection activeCell="A17" sqref="A17"/>
    </sheetView>
  </sheetViews>
  <sheetFormatPr defaultColWidth="8.796875" defaultRowHeight="15"/>
  <cols>
    <col min="1" max="1" width="23.59765625" style="7" customWidth="1"/>
    <col min="2" max="4" width="9.796875" style="7" customWidth="1"/>
    <col min="5" max="5" width="18.296875" style="7" customWidth="1"/>
    <col min="6" max="8" width="15.796875" style="7" customWidth="1"/>
    <col min="9" max="16384" width="8.8984375" style="7" customWidth="1"/>
  </cols>
  <sheetData>
    <row r="1" spans="1:8" ht="15.75">
      <c r="A1" s="72" t="str">
        <f>inputPrYr!$D$2</f>
        <v>CITY OF PARK CITY</v>
      </c>
      <c r="B1" s="21"/>
      <c r="C1" s="21"/>
      <c r="D1" s="21"/>
      <c r="E1" s="21"/>
      <c r="F1" s="21"/>
      <c r="G1" s="21"/>
      <c r="H1" s="139">
        <f>inputPrYr!C5</f>
        <v>2010</v>
      </c>
    </row>
    <row r="2" spans="1:8" ht="15.75">
      <c r="A2" s="72"/>
      <c r="B2" s="21"/>
      <c r="C2" s="21"/>
      <c r="D2" s="21"/>
      <c r="E2" s="21"/>
      <c r="F2" s="21"/>
      <c r="G2" s="21"/>
      <c r="H2" s="24"/>
    </row>
    <row r="3" spans="1:8" ht="15.75">
      <c r="A3" s="21"/>
      <c r="B3" s="21"/>
      <c r="C3" s="21"/>
      <c r="D3" s="21"/>
      <c r="E3" s="21"/>
      <c r="F3" s="21"/>
      <c r="G3" s="21"/>
      <c r="H3" s="23"/>
    </row>
    <row r="4" spans="1:8" ht="15.75">
      <c r="A4" s="75" t="s">
        <v>229</v>
      </c>
      <c r="B4" s="27"/>
      <c r="C4" s="27"/>
      <c r="D4" s="27"/>
      <c r="E4" s="27"/>
      <c r="F4" s="27"/>
      <c r="G4" s="27"/>
      <c r="H4" s="27"/>
    </row>
    <row r="5" spans="1:8" ht="15.75">
      <c r="A5" s="20"/>
      <c r="B5" s="87"/>
      <c r="C5" s="87"/>
      <c r="D5" s="87"/>
      <c r="E5" s="87"/>
      <c r="F5" s="87"/>
      <c r="G5" s="87"/>
      <c r="H5" s="87"/>
    </row>
    <row r="6" spans="1:8" ht="15.75">
      <c r="A6" s="21"/>
      <c r="B6" s="39"/>
      <c r="C6" s="39"/>
      <c r="D6" s="39"/>
      <c r="E6" s="76" t="s">
        <v>127</v>
      </c>
      <c r="F6" s="39"/>
      <c r="G6" s="39"/>
      <c r="H6" s="39"/>
    </row>
    <row r="7" spans="1:8" ht="15.75">
      <c r="A7" s="21"/>
      <c r="B7" s="79"/>
      <c r="C7" s="79" t="s">
        <v>211</v>
      </c>
      <c r="D7" s="79" t="s">
        <v>212</v>
      </c>
      <c r="E7" s="79" t="s">
        <v>149</v>
      </c>
      <c r="F7" s="79" t="s">
        <v>214</v>
      </c>
      <c r="G7" s="79" t="s">
        <v>215</v>
      </c>
      <c r="H7" s="79" t="s">
        <v>215</v>
      </c>
    </row>
    <row r="8" spans="1:8" ht="15.75">
      <c r="A8" s="21"/>
      <c r="B8" s="79" t="s">
        <v>216</v>
      </c>
      <c r="C8" s="79" t="s">
        <v>217</v>
      </c>
      <c r="D8" s="79" t="s">
        <v>200</v>
      </c>
      <c r="E8" s="79" t="s">
        <v>218</v>
      </c>
      <c r="F8" s="79" t="s">
        <v>270</v>
      </c>
      <c r="G8" s="79" t="s">
        <v>219</v>
      </c>
      <c r="H8" s="79" t="s">
        <v>219</v>
      </c>
    </row>
    <row r="9" spans="1:8" ht="15.75">
      <c r="A9" s="88" t="s">
        <v>220</v>
      </c>
      <c r="B9" s="80" t="s">
        <v>197</v>
      </c>
      <c r="C9" s="128" t="s">
        <v>221</v>
      </c>
      <c r="D9" s="80" t="s">
        <v>174</v>
      </c>
      <c r="E9" s="128" t="s">
        <v>295</v>
      </c>
      <c r="F9" s="81" t="str">
        <f>CONCATENATE("Jan 1,",H1-1,"")</f>
        <v>Jan 1,2009</v>
      </c>
      <c r="G9" s="80">
        <f>H1-1</f>
        <v>2009</v>
      </c>
      <c r="H9" s="80">
        <f>H1</f>
        <v>2010</v>
      </c>
    </row>
    <row r="10" spans="1:8" ht="15.75">
      <c r="A10" s="8" t="s">
        <v>507</v>
      </c>
      <c r="B10" s="409">
        <v>37043</v>
      </c>
      <c r="C10" s="228">
        <v>180</v>
      </c>
      <c r="D10" s="215">
        <v>5.5</v>
      </c>
      <c r="E10" s="216">
        <v>245000</v>
      </c>
      <c r="F10" s="216">
        <v>150000</v>
      </c>
      <c r="G10" s="216">
        <v>150000</v>
      </c>
      <c r="H10" s="216">
        <v>0</v>
      </c>
    </row>
    <row r="11" spans="1:8" ht="15.75">
      <c r="A11" s="8" t="s">
        <v>508</v>
      </c>
      <c r="B11" s="409">
        <v>38271</v>
      </c>
      <c r="C11" s="228">
        <v>60</v>
      </c>
      <c r="D11" s="215">
        <v>5.15</v>
      </c>
      <c r="E11" s="216">
        <v>74850</v>
      </c>
      <c r="F11" s="216">
        <v>16509.95</v>
      </c>
      <c r="G11" s="216">
        <v>0</v>
      </c>
      <c r="H11" s="216">
        <v>0</v>
      </c>
    </row>
    <row r="12" spans="1:8" ht="15.75">
      <c r="A12" s="8" t="s">
        <v>509</v>
      </c>
      <c r="B12" s="409">
        <v>39178</v>
      </c>
      <c r="C12" s="228">
        <v>48</v>
      </c>
      <c r="D12" s="215">
        <v>0</v>
      </c>
      <c r="E12" s="216">
        <v>250000</v>
      </c>
      <c r="F12" s="216">
        <v>149999.963</v>
      </c>
      <c r="G12" s="216">
        <f>4166.67*12</f>
        <v>50000.04</v>
      </c>
      <c r="H12" s="216">
        <f>4166.67*12</f>
        <v>50000.04</v>
      </c>
    </row>
    <row r="13" spans="1:8" ht="15.75">
      <c r="A13" s="8" t="s">
        <v>510</v>
      </c>
      <c r="B13" s="295">
        <v>39447</v>
      </c>
      <c r="C13" s="228">
        <v>60</v>
      </c>
      <c r="D13" s="215">
        <v>2.154</v>
      </c>
      <c r="E13" s="216">
        <v>3012</v>
      </c>
      <c r="F13" s="216">
        <v>2483.93</v>
      </c>
      <c r="G13" s="216">
        <f>588.28+47.72</f>
        <v>636</v>
      </c>
      <c r="H13" s="216">
        <f>601.06+34.94</f>
        <v>636</v>
      </c>
    </row>
    <row r="14" spans="1:8" ht="15.75">
      <c r="A14" s="8" t="s">
        <v>722</v>
      </c>
      <c r="B14" s="295">
        <v>39568</v>
      </c>
      <c r="C14" s="228">
        <v>36</v>
      </c>
      <c r="D14" s="215">
        <v>9.5</v>
      </c>
      <c r="E14" s="216">
        <v>60667.82</v>
      </c>
      <c r="F14" s="216">
        <v>60668</v>
      </c>
      <c r="G14" s="216">
        <v>60668</v>
      </c>
      <c r="H14" s="216">
        <v>0</v>
      </c>
    </row>
    <row r="15" spans="1:8" ht="15.75">
      <c r="A15" s="8"/>
      <c r="B15" s="295"/>
      <c r="C15" s="228"/>
      <c r="D15" s="215"/>
      <c r="E15" s="216"/>
      <c r="F15" s="216"/>
      <c r="G15" s="216"/>
      <c r="H15" s="216"/>
    </row>
    <row r="16" spans="1:8" ht="15.75">
      <c r="A16" s="8"/>
      <c r="B16" s="295"/>
      <c r="C16" s="228"/>
      <c r="D16" s="215"/>
      <c r="E16" s="216"/>
      <c r="F16" s="216"/>
      <c r="G16" s="216"/>
      <c r="H16" s="216"/>
    </row>
    <row r="17" spans="1:8" ht="15.75">
      <c r="A17" s="8" t="s">
        <v>735</v>
      </c>
      <c r="B17" s="295"/>
      <c r="C17" s="228"/>
      <c r="D17" s="215"/>
      <c r="E17" s="216"/>
      <c r="F17" s="216"/>
      <c r="G17" s="216"/>
      <c r="H17" s="216"/>
    </row>
    <row r="18" spans="1:8" ht="15.75">
      <c r="A18" s="8"/>
      <c r="B18" s="295"/>
      <c r="C18" s="228"/>
      <c r="D18" s="215"/>
      <c r="E18" s="216"/>
      <c r="F18" s="216"/>
      <c r="G18" s="216"/>
      <c r="H18" s="216"/>
    </row>
    <row r="19" spans="1:8" ht="15.75">
      <c r="A19" s="8"/>
      <c r="B19" s="295"/>
      <c r="C19" s="228"/>
      <c r="D19" s="215"/>
      <c r="E19" s="216"/>
      <c r="F19" s="216"/>
      <c r="G19" s="216"/>
      <c r="H19" s="216"/>
    </row>
    <row r="20" spans="1:8" ht="15.75">
      <c r="A20" s="8"/>
      <c r="B20" s="295"/>
      <c r="C20" s="228"/>
      <c r="D20" s="215"/>
      <c r="E20" s="216"/>
      <c r="F20" s="216"/>
      <c r="G20" s="216"/>
      <c r="H20" s="216"/>
    </row>
    <row r="21" spans="1:8" ht="15.75">
      <c r="A21" s="8"/>
      <c r="B21" s="295"/>
      <c r="C21" s="228"/>
      <c r="D21" s="215"/>
      <c r="E21" s="216"/>
      <c r="F21" s="216"/>
      <c r="G21" s="216"/>
      <c r="H21" s="216"/>
    </row>
    <row r="22" spans="1:8" ht="15.75">
      <c r="A22" s="8"/>
      <c r="B22" s="295"/>
      <c r="C22" s="228"/>
      <c r="D22" s="215"/>
      <c r="E22" s="216"/>
      <c r="F22" s="216"/>
      <c r="G22" s="216"/>
      <c r="H22" s="216"/>
    </row>
    <row r="23" spans="1:8" ht="15.75">
      <c r="A23" s="8"/>
      <c r="B23" s="295"/>
      <c r="C23" s="228"/>
      <c r="D23" s="215"/>
      <c r="E23" s="216"/>
      <c r="F23" s="216"/>
      <c r="G23" s="216"/>
      <c r="H23" s="216"/>
    </row>
    <row r="24" spans="1:8" ht="15.75">
      <c r="A24" s="8"/>
      <c r="B24" s="295"/>
      <c r="C24" s="228"/>
      <c r="D24" s="215"/>
      <c r="E24" s="216"/>
      <c r="F24" s="216"/>
      <c r="G24" s="216"/>
      <c r="H24" s="216"/>
    </row>
    <row r="25" spans="1:8" ht="15.75">
      <c r="A25" s="8"/>
      <c r="B25" s="295"/>
      <c r="C25" s="228"/>
      <c r="D25" s="215"/>
      <c r="E25" s="216"/>
      <c r="F25" s="216"/>
      <c r="G25" s="216"/>
      <c r="H25" s="216"/>
    </row>
    <row r="26" spans="1:8" ht="15.75">
      <c r="A26" s="8"/>
      <c r="B26" s="295"/>
      <c r="C26" s="228"/>
      <c r="D26" s="215"/>
      <c r="E26" s="216"/>
      <c r="F26" s="216"/>
      <c r="G26" s="216"/>
      <c r="H26" s="216"/>
    </row>
    <row r="27" spans="1:8" ht="15.75">
      <c r="A27" s="8"/>
      <c r="B27" s="295"/>
      <c r="C27" s="228"/>
      <c r="D27" s="215"/>
      <c r="E27" s="216"/>
      <c r="F27" s="216"/>
      <c r="G27" s="216"/>
      <c r="H27" s="216"/>
    </row>
    <row r="28" spans="1:8" ht="16.5" thickBot="1">
      <c r="A28" s="89" t="s">
        <v>143</v>
      </c>
      <c r="B28" s="133"/>
      <c r="C28" s="133"/>
      <c r="D28" s="133"/>
      <c r="E28" s="133"/>
      <c r="F28" s="274">
        <f>SUM(F10:F27)</f>
        <v>379661.843</v>
      </c>
      <c r="G28" s="274">
        <f>SUM(G10:G27)</f>
        <v>261304.04</v>
      </c>
      <c r="H28" s="274">
        <f>SUM(H10:H27)</f>
        <v>50636.04</v>
      </c>
    </row>
    <row r="29" spans="1:8" ht="16.5" thickTop="1">
      <c r="A29" s="21"/>
      <c r="B29" s="21"/>
      <c r="C29" s="21"/>
      <c r="D29" s="21"/>
      <c r="E29" s="21"/>
      <c r="F29" s="21"/>
      <c r="G29" s="72"/>
      <c r="H29" s="72"/>
    </row>
    <row r="30" spans="1:8" ht="15.75">
      <c r="A30" s="357" t="s">
        <v>49</v>
      </c>
      <c r="B30" s="358"/>
      <c r="C30" s="358"/>
      <c r="D30" s="358"/>
      <c r="E30" s="358"/>
      <c r="F30" s="358"/>
      <c r="G30" s="72"/>
      <c r="H30" s="72"/>
    </row>
  </sheetData>
  <sheetProtection sheet="1" objects="1" scenarios="1"/>
  <printOptions/>
  <pageMargins left="0.25" right="0.25" top="1" bottom="0.5" header="0.5" footer="0.5"/>
  <pageSetup blackAndWhite="1" fitToHeight="1" fitToWidth="1" horizontalDpi="120" verticalDpi="120" orientation="landscape" scale="85" r:id="rId1"/>
  <headerFooter alignWithMargins="0">
    <oddHeader>&amp;RState of Kansas
City</oddHeader>
    <oddFooter>&amp;Lrevised 8/06/07&amp;CPage No.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ksbailey</cp:lastModifiedBy>
  <cp:lastPrinted>2009-09-29T18:04:46Z</cp:lastPrinted>
  <dcterms:created xsi:type="dcterms:W3CDTF">1999-08-03T13:11:47Z</dcterms:created>
  <dcterms:modified xsi:type="dcterms:W3CDTF">2009-10-05T19:47:29Z</dcterms:modified>
  <cp:category/>
  <cp:version/>
  <cp:contentType/>
  <cp:contentStatus/>
</cp:coreProperties>
</file>